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5" yWindow="1140" windowWidth="20730" windowHeight="11760"/>
  </bookViews>
  <sheets>
    <sheet name="Budget" sheetId="1" r:id="rId1"/>
    <sheet name="Pastor Compensation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9" i="1"/>
  <c r="AI50" s="1"/>
  <c r="AI14"/>
  <c r="AI23"/>
  <c r="AI21"/>
  <c r="AI10"/>
  <c r="AI38"/>
  <c r="AI6"/>
  <c r="AI12"/>
  <c r="AI5"/>
  <c r="AH23"/>
  <c r="AF23"/>
  <c r="AF29" s="1"/>
  <c r="AD23"/>
  <c r="AC23"/>
  <c r="AB23"/>
  <c r="AA23"/>
  <c r="Z23"/>
  <c r="AJ22"/>
  <c r="D22"/>
  <c r="G22"/>
  <c r="H22"/>
  <c r="J22" s="1"/>
  <c r="K22"/>
  <c r="M22" s="1"/>
  <c r="P22"/>
  <c r="S22"/>
  <c r="V22"/>
  <c r="Y22"/>
  <c r="D24"/>
  <c r="G24"/>
  <c r="J24"/>
  <c r="M24"/>
  <c r="P24"/>
  <c r="S24"/>
  <c r="V24"/>
  <c r="Y24"/>
  <c r="AJ24"/>
  <c r="D26"/>
  <c r="G26"/>
  <c r="J26"/>
  <c r="M26"/>
  <c r="P26"/>
  <c r="S26"/>
  <c r="V26"/>
  <c r="Y26"/>
  <c r="AE44"/>
  <c r="AJ44" s="1"/>
  <c r="AB43"/>
  <c r="AE43"/>
  <c r="AG48"/>
  <c r="AH47"/>
  <c r="AH46"/>
  <c r="AH45"/>
  <c r="AH42"/>
  <c r="AH41"/>
  <c r="AH40"/>
  <c r="AH39"/>
  <c r="AF38"/>
  <c r="AG36"/>
  <c r="AF36"/>
  <c r="AH35"/>
  <c r="AH34"/>
  <c r="AH8"/>
  <c r="AH7"/>
  <c r="AH33"/>
  <c r="AH32"/>
  <c r="AH31"/>
  <c r="AG29"/>
  <c r="AH28"/>
  <c r="AH27"/>
  <c r="AH25"/>
  <c r="AH21"/>
  <c r="AH20"/>
  <c r="AH19"/>
  <c r="AH18"/>
  <c r="AH17"/>
  <c r="AH16"/>
  <c r="AG14"/>
  <c r="AF14"/>
  <c r="AH13"/>
  <c r="AH12"/>
  <c r="AH11"/>
  <c r="AH10"/>
  <c r="AH9"/>
  <c r="AH6"/>
  <c r="AH5"/>
  <c r="AE23" l="1"/>
  <c r="AJ23" s="1"/>
  <c r="AJ26"/>
  <c r="AJ43"/>
  <c r="AH29"/>
  <c r="AH14"/>
  <c r="AH36"/>
  <c r="AG50"/>
  <c r="AH38"/>
  <c r="AH48" s="1"/>
  <c r="AH50" l="1"/>
  <c r="AI48" l="1"/>
  <c r="AK36"/>
  <c r="AI36"/>
  <c r="AK29"/>
  <c r="AK14"/>
  <c r="D8" i="2" l="1"/>
  <c r="D9"/>
  <c r="D7"/>
  <c r="AD48" i="1" l="1"/>
  <c r="AE47"/>
  <c r="AE46"/>
  <c r="AE45"/>
  <c r="AF48" s="1"/>
  <c r="AF50" s="1"/>
  <c r="AE42"/>
  <c r="AE41"/>
  <c r="AE40"/>
  <c r="AE39"/>
  <c r="AE38"/>
  <c r="AD36"/>
  <c r="AC36"/>
  <c r="AE35"/>
  <c r="AE34"/>
  <c r="AE8"/>
  <c r="AE7"/>
  <c r="AE33"/>
  <c r="AE32"/>
  <c r="AE31"/>
  <c r="AD29"/>
  <c r="AE28"/>
  <c r="AE27"/>
  <c r="AE25"/>
  <c r="AE21"/>
  <c r="AE20"/>
  <c r="AE19"/>
  <c r="AE18"/>
  <c r="AE16"/>
  <c r="AD14"/>
  <c r="AC14"/>
  <c r="AE13"/>
  <c r="AE12"/>
  <c r="AE11"/>
  <c r="AE10"/>
  <c r="AE9"/>
  <c r="AE6"/>
  <c r="AE5"/>
  <c r="V5"/>
  <c r="V6"/>
  <c r="V9"/>
  <c r="V10"/>
  <c r="V11"/>
  <c r="V12"/>
  <c r="T14"/>
  <c r="U14"/>
  <c r="V16"/>
  <c r="V17"/>
  <c r="V18"/>
  <c r="V19"/>
  <c r="V20"/>
  <c r="V21"/>
  <c r="V25"/>
  <c r="T28"/>
  <c r="T29" s="1"/>
  <c r="U29"/>
  <c r="V31"/>
  <c r="T32"/>
  <c r="V32" s="1"/>
  <c r="T33"/>
  <c r="V33" s="1"/>
  <c r="V7"/>
  <c r="V8"/>
  <c r="T34"/>
  <c r="V34" s="1"/>
  <c r="V35"/>
  <c r="U36"/>
  <c r="V38"/>
  <c r="V39"/>
  <c r="V40"/>
  <c r="V41"/>
  <c r="V42"/>
  <c r="V45"/>
  <c r="T46"/>
  <c r="V46" s="1"/>
  <c r="T47"/>
  <c r="V47" s="1"/>
  <c r="U48"/>
  <c r="AA48"/>
  <c r="AA36"/>
  <c r="AA29"/>
  <c r="AA14"/>
  <c r="AB47"/>
  <c r="AB46"/>
  <c r="AB45"/>
  <c r="AB42"/>
  <c r="AB41"/>
  <c r="AB40"/>
  <c r="AB39"/>
  <c r="AB38"/>
  <c r="Z36"/>
  <c r="AB35"/>
  <c r="AB34"/>
  <c r="AB8"/>
  <c r="AB7"/>
  <c r="AB33"/>
  <c r="AB32"/>
  <c r="AB31"/>
  <c r="Z29"/>
  <c r="AB27"/>
  <c r="AB25"/>
  <c r="AB21"/>
  <c r="AB20"/>
  <c r="AB19"/>
  <c r="AB18"/>
  <c r="AB17"/>
  <c r="AB16"/>
  <c r="Z14"/>
  <c r="AB13"/>
  <c r="AB12"/>
  <c r="AB11"/>
  <c r="AB10"/>
  <c r="AB9"/>
  <c r="AB6"/>
  <c r="AB5"/>
  <c r="AJ18" l="1"/>
  <c r="AJ25"/>
  <c r="AJ39"/>
  <c r="AJ32"/>
  <c r="AJ34"/>
  <c r="AJ38"/>
  <c r="AJ42"/>
  <c r="AJ27"/>
  <c r="AJ33"/>
  <c r="AJ35"/>
  <c r="AJ20"/>
  <c r="AJ31"/>
  <c r="AJ8"/>
  <c r="AJ41"/>
  <c r="AJ47"/>
  <c r="AJ16"/>
  <c r="AJ21"/>
  <c r="AC48"/>
  <c r="AJ45"/>
  <c r="AJ40"/>
  <c r="AJ46"/>
  <c r="AJ19"/>
  <c r="AJ7"/>
  <c r="AJ6"/>
  <c r="AJ12"/>
  <c r="AJ10"/>
  <c r="AJ9"/>
  <c r="AJ13"/>
  <c r="AJ5"/>
  <c r="AJ11"/>
  <c r="T36"/>
  <c r="AE17"/>
  <c r="AE29" s="1"/>
  <c r="V14"/>
  <c r="U50"/>
  <c r="AC29"/>
  <c r="AE48"/>
  <c r="AE36"/>
  <c r="AD50"/>
  <c r="AE14"/>
  <c r="V48"/>
  <c r="V36"/>
  <c r="V28"/>
  <c r="V29" s="1"/>
  <c r="AB48"/>
  <c r="AB36"/>
  <c r="AA50"/>
  <c r="AB14"/>
  <c r="AB28"/>
  <c r="AJ28" s="1"/>
  <c r="S39"/>
  <c r="S40"/>
  <c r="S41"/>
  <c r="S42"/>
  <c r="S45"/>
  <c r="S46"/>
  <c r="T48" s="1"/>
  <c r="S47"/>
  <c r="S38"/>
  <c r="S32"/>
  <c r="S33"/>
  <c r="S7"/>
  <c r="S8"/>
  <c r="S34"/>
  <c r="S35"/>
  <c r="S31"/>
  <c r="S27"/>
  <c r="S28"/>
  <c r="S17"/>
  <c r="S18"/>
  <c r="S19"/>
  <c r="S20"/>
  <c r="S21"/>
  <c r="S25"/>
  <c r="S16"/>
  <c r="S6"/>
  <c r="S9"/>
  <c r="S10"/>
  <c r="S11"/>
  <c r="S12"/>
  <c r="S13"/>
  <c r="S5"/>
  <c r="Y27"/>
  <c r="W48"/>
  <c r="Y39"/>
  <c r="Y40"/>
  <c r="Y41"/>
  <c r="Y42"/>
  <c r="Y45"/>
  <c r="Y46"/>
  <c r="Y47"/>
  <c r="Y38"/>
  <c r="X48"/>
  <c r="Y32"/>
  <c r="Y33"/>
  <c r="Y7"/>
  <c r="Y8"/>
  <c r="Y34"/>
  <c r="Y35"/>
  <c r="Y31"/>
  <c r="W36"/>
  <c r="X36"/>
  <c r="Y17"/>
  <c r="Y18"/>
  <c r="Y19"/>
  <c r="Y20"/>
  <c r="Y21"/>
  <c r="Y25"/>
  <c r="Y16"/>
  <c r="Y13"/>
  <c r="X29"/>
  <c r="W28"/>
  <c r="X14"/>
  <c r="W14"/>
  <c r="Y12"/>
  <c r="Y11"/>
  <c r="Y10"/>
  <c r="Y9"/>
  <c r="Y6"/>
  <c r="Y5"/>
  <c r="N14"/>
  <c r="AC50" l="1"/>
  <c r="AJ17"/>
  <c r="T50"/>
  <c r="AJ14"/>
  <c r="AJ36"/>
  <c r="AK48"/>
  <c r="AK50" s="1"/>
  <c r="Z48"/>
  <c r="Z50" s="1"/>
  <c r="AE50"/>
  <c r="V50"/>
  <c r="Y28"/>
  <c r="AJ29" s="1"/>
  <c r="AB29"/>
  <c r="AB50" s="1"/>
  <c r="X50"/>
  <c r="Y36"/>
  <c r="Y48"/>
  <c r="W29"/>
  <c r="W50" s="1"/>
  <c r="Y14"/>
  <c r="AJ48" l="1"/>
  <c r="AJ50" s="1"/>
  <c r="Y29"/>
  <c r="Y50" s="1"/>
  <c r="R50"/>
  <c r="S48"/>
  <c r="Q36"/>
  <c r="S36"/>
  <c r="S14"/>
  <c r="Q29"/>
  <c r="S29"/>
  <c r="Q14"/>
  <c r="O14"/>
  <c r="L14"/>
  <c r="I14"/>
  <c r="C14"/>
  <c r="K21"/>
  <c r="K10"/>
  <c r="K5"/>
  <c r="K12"/>
  <c r="K8"/>
  <c r="K7"/>
  <c r="K38"/>
  <c r="S50" l="1"/>
  <c r="L36"/>
  <c r="K36"/>
  <c r="M35"/>
  <c r="M34"/>
  <c r="M8"/>
  <c r="M7"/>
  <c r="M33"/>
  <c r="M32"/>
  <c r="M31"/>
  <c r="L29"/>
  <c r="K29"/>
  <c r="M28"/>
  <c r="M25"/>
  <c r="M21"/>
  <c r="M20"/>
  <c r="M19"/>
  <c r="M18"/>
  <c r="M17"/>
  <c r="M16"/>
  <c r="L48"/>
  <c r="M47"/>
  <c r="M46"/>
  <c r="M45"/>
  <c r="N48" s="1"/>
  <c r="M42"/>
  <c r="M41"/>
  <c r="M40"/>
  <c r="M39"/>
  <c r="M38"/>
  <c r="K14"/>
  <c r="M12"/>
  <c r="M11"/>
  <c r="M10"/>
  <c r="M9"/>
  <c r="M6"/>
  <c r="M5"/>
  <c r="D18" i="2"/>
  <c r="D19" s="1"/>
  <c r="H10" i="1"/>
  <c r="H7"/>
  <c r="J38"/>
  <c r="H21"/>
  <c r="H12"/>
  <c r="H5"/>
  <c r="O48"/>
  <c r="O36"/>
  <c r="N36"/>
  <c r="P35"/>
  <c r="P34"/>
  <c r="P8"/>
  <c r="P7"/>
  <c r="P33"/>
  <c r="P32"/>
  <c r="P31"/>
  <c r="O29"/>
  <c r="N29"/>
  <c r="P28"/>
  <c r="P25"/>
  <c r="P21"/>
  <c r="P20"/>
  <c r="P19"/>
  <c r="P18"/>
  <c r="P17"/>
  <c r="P16"/>
  <c r="P47"/>
  <c r="P46"/>
  <c r="P45"/>
  <c r="Q48" s="1"/>
  <c r="Q50" s="1"/>
  <c r="P42"/>
  <c r="P41"/>
  <c r="P40"/>
  <c r="P39"/>
  <c r="P38"/>
  <c r="P12"/>
  <c r="P11"/>
  <c r="P10"/>
  <c r="P9"/>
  <c r="P6"/>
  <c r="P5"/>
  <c r="J35"/>
  <c r="J34"/>
  <c r="J8"/>
  <c r="J33"/>
  <c r="J32"/>
  <c r="J31"/>
  <c r="J28"/>
  <c r="J25"/>
  <c r="J20"/>
  <c r="J19"/>
  <c r="J18"/>
  <c r="J17"/>
  <c r="J16"/>
  <c r="J47"/>
  <c r="J46"/>
  <c r="J45"/>
  <c r="K48" s="1"/>
  <c r="J42"/>
  <c r="J41"/>
  <c r="J40"/>
  <c r="J11"/>
  <c r="J9"/>
  <c r="J6"/>
  <c r="I29"/>
  <c r="I39"/>
  <c r="I36"/>
  <c r="G38"/>
  <c r="G35"/>
  <c r="G34"/>
  <c r="G8"/>
  <c r="G7"/>
  <c r="G33"/>
  <c r="G32"/>
  <c r="G31"/>
  <c r="G28"/>
  <c r="G25"/>
  <c r="G21"/>
  <c r="G20"/>
  <c r="G19"/>
  <c r="G18"/>
  <c r="G17"/>
  <c r="G16"/>
  <c r="G47"/>
  <c r="G46"/>
  <c r="G45"/>
  <c r="G42"/>
  <c r="G41"/>
  <c r="G40"/>
  <c r="G39"/>
  <c r="G12"/>
  <c r="G11"/>
  <c r="G10"/>
  <c r="G9"/>
  <c r="G6"/>
  <c r="G5"/>
  <c r="D34"/>
  <c r="D8"/>
  <c r="D7"/>
  <c r="D33"/>
  <c r="D32"/>
  <c r="D31"/>
  <c r="D28"/>
  <c r="D25"/>
  <c r="D21"/>
  <c r="D20"/>
  <c r="D19"/>
  <c r="D18"/>
  <c r="D17"/>
  <c r="D16"/>
  <c r="D47"/>
  <c r="D46"/>
  <c r="D45"/>
  <c r="D42"/>
  <c r="D41"/>
  <c r="D40"/>
  <c r="D38"/>
  <c r="D11"/>
  <c r="D9"/>
  <c r="D5"/>
  <c r="E36"/>
  <c r="B39"/>
  <c r="B6"/>
  <c r="B35"/>
  <c r="B10"/>
  <c r="B12"/>
  <c r="D12" s="1"/>
  <c r="F36"/>
  <c r="C36"/>
  <c r="C29"/>
  <c r="F29"/>
  <c r="E29"/>
  <c r="B29"/>
  <c r="F48"/>
  <c r="C48"/>
  <c r="F14"/>
  <c r="J39" l="1"/>
  <c r="N50"/>
  <c r="P29"/>
  <c r="M48"/>
  <c r="M36"/>
  <c r="P48"/>
  <c r="M29"/>
  <c r="P14"/>
  <c r="P36"/>
  <c r="O50"/>
  <c r="D6"/>
  <c r="B36"/>
  <c r="D36" s="1"/>
  <c r="D29"/>
  <c r="J5"/>
  <c r="J21"/>
  <c r="J7"/>
  <c r="L50"/>
  <c r="B48"/>
  <c r="D48" s="1"/>
  <c r="H36"/>
  <c r="J36" s="1"/>
  <c r="J12"/>
  <c r="M14"/>
  <c r="K50"/>
  <c r="H14"/>
  <c r="J14" s="1"/>
  <c r="H29"/>
  <c r="J29" s="1"/>
  <c r="D20" i="2"/>
  <c r="I48" i="1"/>
  <c r="I50" s="1"/>
  <c r="J10"/>
  <c r="F50"/>
  <c r="D39"/>
  <c r="G29"/>
  <c r="C50"/>
  <c r="G36"/>
  <c r="D10"/>
  <c r="D35"/>
  <c r="B14"/>
  <c r="D14" s="1"/>
  <c r="G48"/>
  <c r="H48"/>
  <c r="E48"/>
  <c r="E14"/>
  <c r="G14" s="1"/>
  <c r="D25" i="2" l="1"/>
  <c r="D23"/>
  <c r="D22"/>
  <c r="M50" i="1"/>
  <c r="P50"/>
  <c r="H50"/>
  <c r="J50" s="1"/>
  <c r="J48"/>
  <c r="B50"/>
  <c r="D50" s="1"/>
  <c r="E50"/>
  <c r="G50" s="1"/>
  <c r="D27" i="2" l="1"/>
  <c r="D28" l="1"/>
  <c r="C28" s="1"/>
  <c r="C27"/>
  <c r="D29"/>
  <c r="C29" s="1"/>
</calcChain>
</file>

<file path=xl/comments1.xml><?xml version="1.0" encoding="utf-8"?>
<comments xmlns="http://schemas.openxmlformats.org/spreadsheetml/2006/main">
  <authors>
    <author>Michael</author>
  </authors>
  <commentList>
    <comment ref="K21" authorId="0">
      <text>
        <r>
          <rPr>
            <b/>
            <sz val="9"/>
            <color indexed="81"/>
            <rFont val="Tahoma"/>
            <family val="2"/>
          </rPr>
          <t>Michael:</t>
        </r>
        <r>
          <rPr>
            <sz val="9"/>
            <color indexed="81"/>
            <rFont val="Tahoma"/>
            <family val="2"/>
          </rPr>
          <t xml:space="preserve">
1450: benevelonce tim zinc
1200: surveying</t>
        </r>
      </text>
    </comment>
  </commentList>
</comments>
</file>

<file path=xl/sharedStrings.xml><?xml version="1.0" encoding="utf-8"?>
<sst xmlns="http://schemas.openxmlformats.org/spreadsheetml/2006/main" count="110" uniqueCount="79">
  <si>
    <t>St. John's United Church Of Christ</t>
  </si>
  <si>
    <t>Budget</t>
  </si>
  <si>
    <t>Basic Expenses</t>
  </si>
  <si>
    <t>Actual</t>
  </si>
  <si>
    <t>Heating</t>
  </si>
  <si>
    <t>Electricity</t>
  </si>
  <si>
    <t>Telephone</t>
  </si>
  <si>
    <t>Water &amp; Garbage</t>
  </si>
  <si>
    <t>Pastoral Support</t>
  </si>
  <si>
    <t>Salary &amp; Retirement</t>
  </si>
  <si>
    <t>Mileage</t>
  </si>
  <si>
    <t>Continuing Education</t>
  </si>
  <si>
    <t>Pulpit Supply</t>
  </si>
  <si>
    <t>Pastors Book Fund</t>
  </si>
  <si>
    <t>Educational Materials &amp; Music</t>
  </si>
  <si>
    <t>Bulletins</t>
  </si>
  <si>
    <t>Campers Fees</t>
  </si>
  <si>
    <t>PLP Dues</t>
  </si>
  <si>
    <t>Meeting Delegate Expenses</t>
  </si>
  <si>
    <t>Youth Group</t>
  </si>
  <si>
    <t>Miscellaneous Program Expenses</t>
  </si>
  <si>
    <t>Employee Compensation</t>
  </si>
  <si>
    <t>Church Custodian</t>
  </si>
  <si>
    <t>Fellowship Hall Custodian</t>
  </si>
  <si>
    <t>Choir Director</t>
  </si>
  <si>
    <t>Lawn Care (Church)</t>
  </si>
  <si>
    <t>Pastoral Search Expenses</t>
  </si>
  <si>
    <t>Moving Expenses</t>
  </si>
  <si>
    <t>Taxes &amp; Insurance</t>
  </si>
  <si>
    <t>+/-</t>
  </si>
  <si>
    <t>Organist</t>
  </si>
  <si>
    <t>Employer taxes</t>
  </si>
  <si>
    <t>Total Basic Expenses</t>
  </si>
  <si>
    <t>Total Pastoral Support</t>
  </si>
  <si>
    <t>Total Church Program Support</t>
  </si>
  <si>
    <t>Church Program Support</t>
  </si>
  <si>
    <t>Total Employee Compensation</t>
  </si>
  <si>
    <t>Clergy Compensation Guidelines</t>
  </si>
  <si>
    <t>Cash Salary</t>
  </si>
  <si>
    <t>Size of Worshiping Congregation</t>
  </si>
  <si>
    <t>Merit Increase</t>
  </si>
  <si>
    <t>Total Cash Salary</t>
  </si>
  <si>
    <t>Housing (parsonage)</t>
  </si>
  <si>
    <t>Salary + Housing</t>
  </si>
  <si>
    <t>Social Security Offset</t>
  </si>
  <si>
    <t>Life and Disability Insurance (1.5% of Salary + Housing)</t>
  </si>
  <si>
    <t>Pension (14% of Salary + Housing</t>
  </si>
  <si>
    <t>Total Package</t>
  </si>
  <si>
    <t>Beautification</t>
  </si>
  <si>
    <t>Years Actual</t>
  </si>
  <si>
    <t>Conference Guidelines</t>
  </si>
  <si>
    <t>Lawn Care (Cemetery)</t>
  </si>
  <si>
    <t>Total Budget</t>
  </si>
  <si>
    <t>Capital Improvements</t>
  </si>
  <si>
    <t>Last Three</t>
  </si>
  <si>
    <t>Pastors Health Insurance</t>
  </si>
  <si>
    <t>Yrs Budget +/-</t>
  </si>
  <si>
    <t>75-125, add $1,000-2,100</t>
  </si>
  <si>
    <t>125-225, add $2,100-3,150</t>
  </si>
  <si>
    <t>225-350, add $3,150-4,200</t>
  </si>
  <si>
    <t>Over 351, add $5,500+</t>
  </si>
  <si>
    <t>Outreach</t>
  </si>
  <si>
    <t>General Supplies &amp; Maintenance</t>
  </si>
  <si>
    <t>2019 Worksheet</t>
  </si>
  <si>
    <t>1-10 years, add $825 per year</t>
  </si>
  <si>
    <t>11-15 years, add $650 per year</t>
  </si>
  <si>
    <t>16-20 years, add $400 per year</t>
  </si>
  <si>
    <t>21-35 years, add $300 per year</t>
  </si>
  <si>
    <t>35+ years, add $200 per year</t>
  </si>
  <si>
    <t>Years Experience</t>
  </si>
  <si>
    <t>1/2 Time</t>
  </si>
  <si>
    <t>3/4 Time</t>
  </si>
  <si>
    <t xml:space="preserve">Conference Meeting Expences </t>
  </si>
  <si>
    <t>Professional Expences</t>
  </si>
  <si>
    <t>*Office Expences include Office Supplies, Copier Expences and Postage to conform to the  Accounting Program used by the church.</t>
  </si>
  <si>
    <t>Office Expenses *</t>
  </si>
  <si>
    <t xml:space="preserve">Postage </t>
  </si>
  <si>
    <t xml:space="preserve">Copier Expenses </t>
  </si>
  <si>
    <t xml:space="preserve">Office Supplies 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</si>
</sst>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_);[Red]\(0.00\)"/>
  </numFmts>
  <fonts count="1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name val="Lucida Handwriting"/>
      <family val="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i/>
      <sz val="12"/>
      <name val="Cambria"/>
      <family val="1"/>
      <scheme val="major"/>
    </font>
    <font>
      <i/>
      <sz val="11"/>
      <name val="Cambria"/>
      <family val="1"/>
      <scheme val="major"/>
    </font>
    <font>
      <i/>
      <sz val="12"/>
      <name val="Cambria"/>
      <family val="1"/>
      <scheme val="major"/>
    </font>
    <font>
      <i/>
      <sz val="11"/>
      <color theme="4" tint="-0.499984740745262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thick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thick">
        <color auto="1"/>
      </left>
      <right/>
      <top style="double">
        <color auto="1"/>
      </top>
      <bottom style="medium">
        <color indexed="64"/>
      </bottom>
      <diagonal/>
    </border>
    <border>
      <left/>
      <right style="thick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4" fillId="0" borderId="0" xfId="0" applyFont="1"/>
    <xf numFmtId="165" fontId="5" fillId="0" borderId="0" xfId="0" applyNumberFormat="1" applyFont="1" applyAlignment="1">
      <alignment horizontal="right"/>
    </xf>
    <xf numFmtId="44" fontId="0" fillId="0" borderId="0" xfId="1" applyFont="1" applyAlignment="1">
      <alignment horizontal="center"/>
    </xf>
    <xf numFmtId="44" fontId="0" fillId="0" borderId="0" xfId="1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44" fontId="6" fillId="0" borderId="2" xfId="1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44" fontId="0" fillId="0" borderId="2" xfId="1" applyFont="1" applyBorder="1" applyAlignment="1">
      <alignment horizontal="center"/>
    </xf>
    <xf numFmtId="44" fontId="0" fillId="0" borderId="2" xfId="1" applyFont="1" applyBorder="1"/>
    <xf numFmtId="0" fontId="0" fillId="0" borderId="2" xfId="0" applyBorder="1" applyAlignment="1">
      <alignment horizontal="center" vertical="center"/>
    </xf>
    <xf numFmtId="44" fontId="0" fillId="0" borderId="2" xfId="1" applyFont="1" applyBorder="1" applyAlignment="1">
      <alignment vertical="center"/>
    </xf>
    <xf numFmtId="0" fontId="0" fillId="0" borderId="2" xfId="0" applyBorder="1" applyAlignment="1">
      <alignment horizontal="center"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44" fontId="6" fillId="0" borderId="2" xfId="1" applyFont="1" applyBorder="1"/>
    <xf numFmtId="0" fontId="0" fillId="0" borderId="2" xfId="0" applyBorder="1" applyAlignment="1">
      <alignment horizontal="center" wrapText="1"/>
    </xf>
    <xf numFmtId="0" fontId="8" fillId="0" borderId="0" xfId="0" applyFont="1"/>
    <xf numFmtId="165" fontId="9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right"/>
    </xf>
    <xf numFmtId="0" fontId="11" fillId="0" borderId="21" xfId="0" applyFont="1" applyBorder="1"/>
    <xf numFmtId="165" fontId="11" fillId="0" borderId="64" xfId="0" applyNumberFormat="1" applyFont="1" applyBorder="1" applyAlignment="1">
      <alignment horizontal="center"/>
    </xf>
    <xf numFmtId="0" fontId="12" fillId="0" borderId="6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11" fillId="0" borderId="66" xfId="0" applyNumberFormat="1" applyFont="1" applyBorder="1" applyAlignment="1">
      <alignment horizontal="center"/>
    </xf>
    <xf numFmtId="165" fontId="11" fillId="0" borderId="34" xfId="0" applyNumberFormat="1" applyFont="1" applyBorder="1" applyAlignment="1">
      <alignment horizontal="center"/>
    </xf>
    <xf numFmtId="0" fontId="11" fillId="0" borderId="60" xfId="0" quotePrefix="1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0" fillId="0" borderId="67" xfId="0" applyFont="1" applyBorder="1"/>
    <xf numFmtId="40" fontId="10" fillId="0" borderId="68" xfId="0" applyNumberFormat="1" applyFont="1" applyBorder="1"/>
    <xf numFmtId="164" fontId="10" fillId="0" borderId="69" xfId="0" applyNumberFormat="1" applyFont="1" applyBorder="1"/>
    <xf numFmtId="164" fontId="10" fillId="0" borderId="70" xfId="0" applyNumberFormat="1" applyFont="1" applyBorder="1"/>
    <xf numFmtId="164" fontId="10" fillId="0" borderId="68" xfId="0" applyNumberFormat="1" applyFont="1" applyBorder="1"/>
    <xf numFmtId="164" fontId="10" fillId="0" borderId="71" xfId="0" applyNumberFormat="1" applyFont="1" applyBorder="1"/>
    <xf numFmtId="44" fontId="10" fillId="0" borderId="71" xfId="1" applyFont="1" applyBorder="1"/>
    <xf numFmtId="44" fontId="10" fillId="0" borderId="69" xfId="1" applyFont="1" applyBorder="1"/>
    <xf numFmtId="44" fontId="10" fillId="0" borderId="70" xfId="1" applyFont="1" applyBorder="1"/>
    <xf numFmtId="44" fontId="10" fillId="0" borderId="76" xfId="1" applyFont="1" applyBorder="1"/>
    <xf numFmtId="44" fontId="10" fillId="0" borderId="73" xfId="1" applyFont="1" applyBorder="1"/>
    <xf numFmtId="44" fontId="10" fillId="0" borderId="73" xfId="1" applyFont="1" applyBorder="1" applyAlignment="1">
      <alignment horizontal="right"/>
    </xf>
    <xf numFmtId="44" fontId="10" fillId="0" borderId="68" xfId="1" applyFont="1" applyBorder="1" applyAlignment="1">
      <alignment horizontal="right"/>
    </xf>
    <xf numFmtId="44" fontId="10" fillId="0" borderId="74" xfId="1" applyFont="1" applyBorder="1"/>
    <xf numFmtId="44" fontId="10" fillId="0" borderId="69" xfId="1" applyFont="1" applyBorder="1" applyAlignment="1">
      <alignment horizontal="right"/>
    </xf>
    <xf numFmtId="0" fontId="10" fillId="0" borderId="53" xfId="0" applyFont="1" applyBorder="1"/>
    <xf numFmtId="40" fontId="10" fillId="0" borderId="7" xfId="0" applyNumberFormat="1" applyFont="1" applyBorder="1"/>
    <xf numFmtId="164" fontId="10" fillId="0" borderId="2" xfId="0" applyNumberFormat="1" applyFont="1" applyBorder="1"/>
    <xf numFmtId="164" fontId="10" fillId="0" borderId="1" xfId="0" applyNumberFormat="1" applyFont="1" applyBorder="1"/>
    <xf numFmtId="164" fontId="10" fillId="0" borderId="7" xfId="0" applyNumberFormat="1" applyFont="1" applyBorder="1"/>
    <xf numFmtId="164" fontId="10" fillId="0" borderId="10" xfId="0" applyNumberFormat="1" applyFont="1" applyBorder="1"/>
    <xf numFmtId="44" fontId="10" fillId="0" borderId="10" xfId="1" applyFont="1" applyBorder="1"/>
    <xf numFmtId="44" fontId="10" fillId="0" borderId="2" xfId="1" applyFont="1" applyBorder="1"/>
    <xf numFmtId="44" fontId="10" fillId="0" borderId="1" xfId="1" applyFont="1" applyBorder="1"/>
    <xf numFmtId="44" fontId="10" fillId="0" borderId="15" xfId="1" applyFont="1" applyBorder="1"/>
    <xf numFmtId="44" fontId="10" fillId="0" borderId="3" xfId="1" applyFont="1" applyBorder="1"/>
    <xf numFmtId="44" fontId="10" fillId="0" borderId="3" xfId="1" applyFont="1" applyBorder="1" applyAlignment="1">
      <alignment horizontal="right"/>
    </xf>
    <xf numFmtId="44" fontId="10" fillId="0" borderId="7" xfId="1" applyFont="1" applyBorder="1" applyAlignment="1">
      <alignment horizontal="right"/>
    </xf>
    <xf numFmtId="44" fontId="10" fillId="0" borderId="24" xfId="1" applyFont="1" applyBorder="1"/>
    <xf numFmtId="44" fontId="10" fillId="0" borderId="2" xfId="1" applyFont="1" applyBorder="1" applyAlignment="1">
      <alignment horizontal="right"/>
    </xf>
    <xf numFmtId="44" fontId="10" fillId="0" borderId="7" xfId="1" applyFont="1" applyBorder="1"/>
    <xf numFmtId="0" fontId="10" fillId="0" borderId="54" xfId="0" applyFont="1" applyBorder="1"/>
    <xf numFmtId="0" fontId="10" fillId="0" borderId="13" xfId="0" applyFont="1" applyBorder="1"/>
    <xf numFmtId="164" fontId="10" fillId="0" borderId="9" xfId="0" applyNumberFormat="1" applyFont="1" applyBorder="1"/>
    <xf numFmtId="164" fontId="10" fillId="0" borderId="12" xfId="0" applyNumberFormat="1" applyFont="1" applyBorder="1"/>
    <xf numFmtId="164" fontId="10" fillId="0" borderId="16" xfId="0" applyNumberFormat="1" applyFont="1" applyBorder="1"/>
    <xf numFmtId="164" fontId="10" fillId="0" borderId="13" xfId="0" applyNumberFormat="1" applyFont="1" applyBorder="1"/>
    <xf numFmtId="44" fontId="10" fillId="0" borderId="17" xfId="1" applyFont="1" applyBorder="1"/>
    <xf numFmtId="44" fontId="10" fillId="0" borderId="9" xfId="1" applyFont="1" applyBorder="1"/>
    <xf numFmtId="44" fontId="10" fillId="0" borderId="12" xfId="1" applyFont="1" applyBorder="1"/>
    <xf numFmtId="44" fontId="10" fillId="0" borderId="13" xfId="1" applyFont="1" applyBorder="1"/>
    <xf numFmtId="44" fontId="10" fillId="0" borderId="16" xfId="1" applyFont="1" applyBorder="1"/>
    <xf numFmtId="44" fontId="10" fillId="0" borderId="17" xfId="1" applyFont="1" applyBorder="1" applyAlignment="1">
      <alignment horizontal="right"/>
    </xf>
    <xf numFmtId="44" fontId="10" fillId="0" borderId="59" xfId="1" applyFont="1" applyBorder="1"/>
    <xf numFmtId="44" fontId="10" fillId="0" borderId="58" xfId="1" applyFont="1" applyBorder="1" applyAlignment="1">
      <alignment horizontal="right"/>
    </xf>
    <xf numFmtId="44" fontId="10" fillId="0" borderId="26" xfId="1" applyFont="1" applyBorder="1"/>
    <xf numFmtId="44" fontId="10" fillId="0" borderId="9" xfId="1" applyFont="1" applyBorder="1" applyAlignment="1">
      <alignment horizontal="right"/>
    </xf>
    <xf numFmtId="0" fontId="12" fillId="0" borderId="55" xfId="0" applyFont="1" applyBorder="1" applyAlignment="1">
      <alignment horizontal="right"/>
    </xf>
    <xf numFmtId="40" fontId="10" fillId="0" borderId="32" xfId="0" applyNumberFormat="1" applyFont="1" applyBorder="1"/>
    <xf numFmtId="8" fontId="10" fillId="0" borderId="30" xfId="0" applyNumberFormat="1" applyFont="1" applyBorder="1"/>
    <xf numFmtId="8" fontId="10" fillId="0" borderId="31" xfId="0" applyNumberFormat="1" applyFont="1" applyBorder="1"/>
    <xf numFmtId="8" fontId="10" fillId="0" borderId="32" xfId="0" applyNumberFormat="1" applyFont="1" applyBorder="1"/>
    <xf numFmtId="8" fontId="10" fillId="0" borderId="33" xfId="0" applyNumberFormat="1" applyFont="1" applyBorder="1"/>
    <xf numFmtId="44" fontId="10" fillId="0" borderId="29" xfId="1" applyFont="1" applyBorder="1"/>
    <xf numFmtId="44" fontId="10" fillId="0" borderId="30" xfId="1" applyFont="1" applyBorder="1"/>
    <xf numFmtId="44" fontId="10" fillId="0" borderId="31" xfId="1" applyFont="1" applyBorder="1"/>
    <xf numFmtId="44" fontId="10" fillId="0" borderId="34" xfId="1" applyFont="1" applyBorder="1"/>
    <xf numFmtId="44" fontId="10" fillId="0" borderId="29" xfId="1" applyFont="1" applyBorder="1" applyAlignment="1">
      <alignment horizontal="right"/>
    </xf>
    <xf numFmtId="44" fontId="10" fillId="0" borderId="32" xfId="1" applyFont="1" applyBorder="1" applyAlignment="1">
      <alignment horizontal="right"/>
    </xf>
    <xf numFmtId="44" fontId="10" fillId="0" borderId="30" xfId="1" applyFont="1" applyBorder="1" applyAlignment="1">
      <alignment horizontal="right"/>
    </xf>
    <xf numFmtId="44" fontId="10" fillId="0" borderId="35" xfId="1" applyFont="1" applyBorder="1"/>
    <xf numFmtId="8" fontId="10" fillId="0" borderId="68" xfId="0" applyNumberFormat="1" applyFont="1" applyBorder="1"/>
    <xf numFmtId="8" fontId="10" fillId="0" borderId="69" xfId="0" applyNumberFormat="1" applyFont="1" applyBorder="1"/>
    <xf numFmtId="8" fontId="10" fillId="0" borderId="70" xfId="0" applyNumberFormat="1" applyFont="1" applyBorder="1"/>
    <xf numFmtId="8" fontId="10" fillId="0" borderId="71" xfId="0" applyNumberFormat="1" applyFont="1" applyBorder="1"/>
    <xf numFmtId="44" fontId="10" fillId="0" borderId="72" xfId="1" applyFont="1" applyBorder="1"/>
    <xf numFmtId="8" fontId="10" fillId="0" borderId="7" xfId="0" applyNumberFormat="1" applyFont="1" applyBorder="1"/>
    <xf numFmtId="8" fontId="10" fillId="0" borderId="2" xfId="0" applyNumberFormat="1" applyFont="1" applyBorder="1"/>
    <xf numFmtId="8" fontId="10" fillId="0" borderId="1" xfId="0" applyNumberFormat="1" applyFont="1" applyBorder="1"/>
    <xf numFmtId="8" fontId="10" fillId="0" borderId="10" xfId="0" applyNumberFormat="1" applyFont="1" applyBorder="1"/>
    <xf numFmtId="44" fontId="10" fillId="0" borderId="14" xfId="1" applyFont="1" applyBorder="1"/>
    <xf numFmtId="0" fontId="10" fillId="0" borderId="56" xfId="0" applyFont="1" applyBorder="1"/>
    <xf numFmtId="8" fontId="10" fillId="0" borderId="8" xfId="0" applyNumberFormat="1" applyFont="1" applyBorder="1"/>
    <xf numFmtId="8" fontId="10" fillId="0" borderId="5" xfId="0" applyNumberFormat="1" applyFont="1" applyBorder="1"/>
    <xf numFmtId="8" fontId="10" fillId="0" borderId="6" xfId="0" applyNumberFormat="1" applyFont="1" applyBorder="1"/>
    <xf numFmtId="8" fontId="10" fillId="0" borderId="11" xfId="0" applyNumberFormat="1" applyFont="1" applyBorder="1"/>
    <xf numFmtId="44" fontId="10" fillId="0" borderId="11" xfId="1" applyFont="1" applyBorder="1"/>
    <xf numFmtId="44" fontId="10" fillId="0" borderId="5" xfId="1" applyFont="1" applyBorder="1"/>
    <xf numFmtId="44" fontId="10" fillId="0" borderId="6" xfId="1" applyFont="1" applyBorder="1"/>
    <xf numFmtId="44" fontId="10" fillId="0" borderId="18" xfId="1" applyFont="1" applyBorder="1"/>
    <xf numFmtId="44" fontId="10" fillId="0" borderId="4" xfId="1" applyFont="1" applyBorder="1"/>
    <xf numFmtId="44" fontId="10" fillId="0" borderId="4" xfId="1" applyFont="1" applyBorder="1" applyAlignment="1">
      <alignment horizontal="right"/>
    </xf>
    <xf numFmtId="44" fontId="10" fillId="0" borderId="8" xfId="1" applyFont="1" applyBorder="1" applyAlignment="1">
      <alignment horizontal="right"/>
    </xf>
    <xf numFmtId="44" fontId="10" fillId="0" borderId="27" xfId="1" applyFont="1" applyBorder="1"/>
    <xf numFmtId="44" fontId="10" fillId="0" borderId="13" xfId="1" applyFont="1" applyBorder="1" applyAlignment="1">
      <alignment horizontal="right"/>
    </xf>
    <xf numFmtId="0" fontId="12" fillId="0" borderId="57" xfId="0" applyFont="1" applyBorder="1" applyAlignment="1">
      <alignment horizontal="right"/>
    </xf>
    <xf numFmtId="8" fontId="10" fillId="0" borderId="39" xfId="0" applyNumberFormat="1" applyFont="1" applyBorder="1"/>
    <xf numFmtId="8" fontId="10" fillId="0" borderId="37" xfId="0" applyNumberFormat="1" applyFont="1" applyBorder="1"/>
    <xf numFmtId="8" fontId="10" fillId="0" borderId="38" xfId="0" applyNumberFormat="1" applyFont="1" applyBorder="1"/>
    <xf numFmtId="8" fontId="10" fillId="0" borderId="40" xfId="0" applyNumberFormat="1" applyFont="1" applyBorder="1"/>
    <xf numFmtId="44" fontId="10" fillId="0" borderId="40" xfId="1" applyFont="1" applyBorder="1"/>
    <xf numFmtId="44" fontId="10" fillId="0" borderId="37" xfId="1" applyFont="1" applyBorder="1"/>
    <xf numFmtId="44" fontId="10" fillId="0" borderId="38" xfId="1" applyFont="1" applyBorder="1"/>
    <xf numFmtId="44" fontId="10" fillId="0" borderId="41" xfId="1" applyFont="1" applyBorder="1"/>
    <xf numFmtId="44" fontId="10" fillId="0" borderId="36" xfId="1" applyFont="1" applyBorder="1"/>
    <xf numFmtId="44" fontId="10" fillId="0" borderId="36" xfId="1" applyFont="1" applyBorder="1" applyAlignment="1">
      <alignment horizontal="right"/>
    </xf>
    <xf numFmtId="44" fontId="10" fillId="0" borderId="39" xfId="1" applyFont="1" applyBorder="1" applyAlignment="1">
      <alignment horizontal="right"/>
    </xf>
    <xf numFmtId="44" fontId="10" fillId="0" borderId="37" xfId="1" applyFont="1" applyBorder="1" applyAlignment="1">
      <alignment horizontal="right"/>
    </xf>
    <xf numFmtId="44" fontId="10" fillId="0" borderId="42" xfId="1" applyFont="1" applyBorder="1"/>
    <xf numFmtId="0" fontId="10" fillId="0" borderId="75" xfId="0" applyFont="1" applyBorder="1"/>
    <xf numFmtId="44" fontId="10" fillId="0" borderId="70" xfId="1" applyFont="1" applyBorder="1" applyAlignment="1">
      <alignment horizontal="right"/>
    </xf>
    <xf numFmtId="44" fontId="10" fillId="0" borderId="74" xfId="1" applyFont="1" applyBorder="1" applyAlignment="1">
      <alignment horizontal="right"/>
    </xf>
    <xf numFmtId="0" fontId="10" fillId="0" borderId="23" xfId="0" applyFont="1" applyBorder="1"/>
    <xf numFmtId="44" fontId="10" fillId="0" borderId="1" xfId="1" applyFont="1" applyBorder="1" applyAlignment="1">
      <alignment horizontal="right"/>
    </xf>
    <xf numFmtId="44" fontId="10" fillId="0" borderId="24" xfId="1" applyFont="1" applyBorder="1" applyAlignment="1">
      <alignment horizontal="right"/>
    </xf>
    <xf numFmtId="0" fontId="10" fillId="0" borderId="25" xfId="0" applyFont="1" applyBorder="1"/>
    <xf numFmtId="8" fontId="10" fillId="0" borderId="13" xfId="0" applyNumberFormat="1" applyFont="1" applyBorder="1"/>
    <xf numFmtId="8" fontId="10" fillId="0" borderId="9" xfId="0" applyNumberFormat="1" applyFont="1" applyBorder="1"/>
    <xf numFmtId="8" fontId="10" fillId="0" borderId="12" xfId="0" applyNumberFormat="1" applyFont="1" applyBorder="1"/>
    <xf numFmtId="8" fontId="10" fillId="0" borderId="19" xfId="0" applyNumberFormat="1" applyFont="1" applyBorder="1"/>
    <xf numFmtId="44" fontId="10" fillId="0" borderId="19" xfId="1" applyFont="1" applyBorder="1"/>
    <xf numFmtId="44" fontId="10" fillId="0" borderId="20" xfId="1" applyFont="1" applyBorder="1"/>
    <xf numFmtId="44" fontId="10" fillId="0" borderId="12" xfId="1" applyFont="1" applyBorder="1" applyAlignment="1">
      <alignment horizontal="right"/>
    </xf>
    <xf numFmtId="44" fontId="10" fillId="0" borderId="26" xfId="1" applyFont="1" applyBorder="1" applyAlignment="1">
      <alignment horizontal="right"/>
    </xf>
    <xf numFmtId="0" fontId="12" fillId="0" borderId="28" xfId="0" applyFont="1" applyBorder="1" applyAlignment="1">
      <alignment horizontal="right"/>
    </xf>
    <xf numFmtId="44" fontId="10" fillId="0" borderId="33" xfId="1" applyFont="1" applyBorder="1"/>
    <xf numFmtId="44" fontId="10" fillId="0" borderId="43" xfId="1" applyFont="1" applyBorder="1"/>
    <xf numFmtId="44" fontId="10" fillId="0" borderId="32" xfId="1" applyFont="1" applyBorder="1"/>
    <xf numFmtId="44" fontId="10" fillId="0" borderId="44" xfId="1" applyFont="1" applyBorder="1" applyAlignment="1">
      <alignment horizontal="right"/>
    </xf>
    <xf numFmtId="164" fontId="10" fillId="0" borderId="3" xfId="0" applyNumberFormat="1" applyFont="1" applyBorder="1"/>
    <xf numFmtId="40" fontId="10" fillId="0" borderId="13" xfId="0" applyNumberFormat="1" applyFont="1" applyBorder="1"/>
    <xf numFmtId="164" fontId="10" fillId="0" borderId="17" xfId="0" applyNumberFormat="1" applyFont="1" applyBorder="1"/>
    <xf numFmtId="164" fontId="10" fillId="0" borderId="19" xfId="0" applyNumberFormat="1" applyFont="1" applyBorder="1"/>
    <xf numFmtId="8" fontId="10" fillId="0" borderId="29" xfId="0" applyNumberFormat="1" applyFont="1" applyBorder="1"/>
    <xf numFmtId="0" fontId="10" fillId="0" borderId="21" xfId="0" applyFont="1" applyBorder="1"/>
    <xf numFmtId="164" fontId="10" fillId="0" borderId="0" xfId="0" applyNumberFormat="1" applyFont="1"/>
    <xf numFmtId="0" fontId="10" fillId="0" borderId="0" xfId="0" applyFont="1"/>
    <xf numFmtId="0" fontId="10" fillId="0" borderId="22" xfId="0" applyFont="1" applyBorder="1"/>
    <xf numFmtId="0" fontId="12" fillId="0" borderId="45" xfId="0" applyFont="1" applyBorder="1" applyAlignment="1">
      <alignment horizontal="right"/>
    </xf>
    <xf numFmtId="8" fontId="10" fillId="0" borderId="46" xfId="0" applyNumberFormat="1" applyFont="1" applyBorder="1"/>
    <xf numFmtId="8" fontId="10" fillId="0" borderId="47" xfId="0" applyNumberFormat="1" applyFont="1" applyBorder="1"/>
    <xf numFmtId="8" fontId="10" fillId="0" borderId="48" xfId="0" applyNumberFormat="1" applyFont="1" applyBorder="1"/>
    <xf numFmtId="8" fontId="10" fillId="0" borderId="49" xfId="0" applyNumberFormat="1" applyFont="1" applyBorder="1"/>
    <xf numFmtId="44" fontId="10" fillId="0" borderId="49" xfId="1" applyFont="1" applyBorder="1"/>
    <xf numFmtId="44" fontId="10" fillId="0" borderId="47" xfId="1" applyFont="1" applyBorder="1"/>
    <xf numFmtId="44" fontId="10" fillId="0" borderId="48" xfId="1" applyFont="1" applyBorder="1"/>
    <xf numFmtId="44" fontId="10" fillId="0" borderId="50" xfId="1" applyFont="1" applyBorder="1"/>
    <xf numFmtId="44" fontId="10" fillId="0" borderId="46" xfId="1" applyFont="1" applyBorder="1"/>
    <xf numFmtId="44" fontId="10" fillId="0" borderId="51" xfId="1" applyFont="1" applyBorder="1"/>
    <xf numFmtId="44" fontId="10" fillId="0" borderId="52" xfId="1" applyFont="1" applyBorder="1"/>
    <xf numFmtId="0" fontId="13" fillId="0" borderId="0" xfId="0" applyFont="1"/>
    <xf numFmtId="165" fontId="14" fillId="0" borderId="0" xfId="0" applyNumberFormat="1" applyFont="1" applyAlignment="1">
      <alignment horizontal="left"/>
    </xf>
    <xf numFmtId="165" fontId="14" fillId="0" borderId="0" xfId="0" applyNumberFormat="1" applyFont="1" applyAlignment="1">
      <alignment horizontal="right"/>
    </xf>
    <xf numFmtId="0" fontId="15" fillId="0" borderId="0" xfId="0" applyFont="1"/>
    <xf numFmtId="0" fontId="14" fillId="0" borderId="53" xfId="0" applyFont="1" applyBorder="1"/>
    <xf numFmtId="44" fontId="4" fillId="0" borderId="0" xfId="0" applyNumberFormat="1" applyFont="1"/>
    <xf numFmtId="44" fontId="10" fillId="0" borderId="17" xfId="1" applyFont="1" applyFill="1" applyBorder="1" applyAlignment="1">
      <alignment horizontal="right"/>
    </xf>
    <xf numFmtId="0" fontId="12" fillId="0" borderId="63" xfId="0" applyNumberFormat="1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2" fillId="0" borderId="63" xfId="0" applyFont="1" applyBorder="1" applyAlignment="1">
      <alignment horizontal="center"/>
    </xf>
    <xf numFmtId="0" fontId="12" fillId="0" borderId="64" xfId="0" applyFont="1" applyBorder="1" applyAlignment="1">
      <alignment horizontal="center"/>
    </xf>
    <xf numFmtId="0" fontId="12" fillId="0" borderId="65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52"/>
  <sheetViews>
    <sheetView tabSelected="1" zoomScale="80" zoomScaleNormal="80" zoomScaleSheetLayoutView="80" workbookViewId="0">
      <pane xSplit="1" topLeftCell="Z1" activePane="topRight" state="frozen"/>
      <selection pane="topRight" activeCell="A4" sqref="A4:AK4"/>
    </sheetView>
  </sheetViews>
  <sheetFormatPr defaultRowHeight="15.75"/>
  <cols>
    <col min="1" max="1" width="33.7109375" style="3" customWidth="1"/>
    <col min="2" max="19" width="14" style="3" hidden="1" customWidth="1"/>
    <col min="20" max="21" width="14" style="4" hidden="1" customWidth="1"/>
    <col min="22" max="25" width="14" style="3" hidden="1" customWidth="1"/>
    <col min="26" max="34" width="15.5703125" style="3" hidden="1" customWidth="1"/>
    <col min="35" max="35" width="15.5703125" style="3" customWidth="1"/>
    <col min="36" max="36" width="16.140625" style="3" customWidth="1"/>
    <col min="37" max="37" width="15.5703125" style="3" customWidth="1"/>
    <col min="38" max="38" width="12" style="3" bestFit="1" customWidth="1"/>
    <col min="39" max="16384" width="9.140625" style="3"/>
  </cols>
  <sheetData>
    <row r="1" spans="1:38" ht="27.75" customHeight="1" thickBot="1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90"/>
    </row>
    <row r="2" spans="1:38" ht="20.25" customHeight="1">
      <c r="A2" s="24"/>
      <c r="B2" s="191">
        <v>2009</v>
      </c>
      <c r="C2" s="191"/>
      <c r="D2" s="191"/>
      <c r="E2" s="191">
        <v>2010</v>
      </c>
      <c r="F2" s="191"/>
      <c r="G2" s="191"/>
      <c r="H2" s="191">
        <v>2011</v>
      </c>
      <c r="I2" s="191"/>
      <c r="J2" s="191"/>
      <c r="K2" s="191">
        <v>2012</v>
      </c>
      <c r="L2" s="191"/>
      <c r="M2" s="191"/>
      <c r="N2" s="191">
        <v>2013</v>
      </c>
      <c r="O2" s="191"/>
      <c r="P2" s="191"/>
      <c r="Q2" s="191">
        <v>2014</v>
      </c>
      <c r="R2" s="191"/>
      <c r="S2" s="191"/>
      <c r="T2" s="192">
        <v>2015</v>
      </c>
      <c r="U2" s="192"/>
      <c r="V2" s="192"/>
      <c r="W2" s="193">
        <v>2016</v>
      </c>
      <c r="X2" s="193"/>
      <c r="Y2" s="193"/>
      <c r="Z2" s="185">
        <v>2017</v>
      </c>
      <c r="AA2" s="186"/>
      <c r="AB2" s="187"/>
      <c r="AC2" s="185">
        <v>2018</v>
      </c>
      <c r="AD2" s="186"/>
      <c r="AE2" s="187"/>
      <c r="AF2" s="185">
        <v>2019</v>
      </c>
      <c r="AG2" s="186"/>
      <c r="AH2" s="187"/>
      <c r="AI2" s="181">
        <v>2020</v>
      </c>
      <c r="AJ2" s="25" t="s">
        <v>54</v>
      </c>
      <c r="AK2" s="26">
        <v>2021</v>
      </c>
    </row>
    <row r="3" spans="1:38" ht="20.25" customHeight="1" thickBot="1">
      <c r="A3" s="24"/>
      <c r="B3" s="27" t="s">
        <v>3</v>
      </c>
      <c r="C3" s="27" t="s">
        <v>1</v>
      </c>
      <c r="D3" s="28" t="s">
        <v>29</v>
      </c>
      <c r="E3" s="27" t="s">
        <v>3</v>
      </c>
      <c r="F3" s="27" t="s">
        <v>1</v>
      </c>
      <c r="G3" s="28" t="s">
        <v>29</v>
      </c>
      <c r="H3" s="27" t="s">
        <v>3</v>
      </c>
      <c r="I3" s="27" t="s">
        <v>1</v>
      </c>
      <c r="J3" s="28" t="s">
        <v>29</v>
      </c>
      <c r="K3" s="27" t="s">
        <v>3</v>
      </c>
      <c r="L3" s="27" t="s">
        <v>1</v>
      </c>
      <c r="M3" s="28" t="s">
        <v>29</v>
      </c>
      <c r="N3" s="27" t="s">
        <v>3</v>
      </c>
      <c r="O3" s="27" t="s">
        <v>1</v>
      </c>
      <c r="P3" s="28" t="s">
        <v>29</v>
      </c>
      <c r="Q3" s="27" t="s">
        <v>3</v>
      </c>
      <c r="R3" s="27" t="s">
        <v>1</v>
      </c>
      <c r="S3" s="28" t="s">
        <v>29</v>
      </c>
      <c r="T3" s="29" t="s">
        <v>3</v>
      </c>
      <c r="U3" s="29" t="s">
        <v>1</v>
      </c>
      <c r="V3" s="28" t="s">
        <v>29</v>
      </c>
      <c r="W3" s="29" t="s">
        <v>3</v>
      </c>
      <c r="X3" s="29" t="s">
        <v>1</v>
      </c>
      <c r="Y3" s="28" t="s">
        <v>29</v>
      </c>
      <c r="Z3" s="30" t="s">
        <v>3</v>
      </c>
      <c r="AA3" s="31" t="s">
        <v>1</v>
      </c>
      <c r="AB3" s="32" t="s">
        <v>29</v>
      </c>
      <c r="AC3" s="30" t="s">
        <v>3</v>
      </c>
      <c r="AD3" s="31" t="s">
        <v>1</v>
      </c>
      <c r="AE3" s="32" t="s">
        <v>29</v>
      </c>
      <c r="AF3" s="30" t="s">
        <v>3</v>
      </c>
      <c r="AG3" s="31" t="s">
        <v>1</v>
      </c>
      <c r="AH3" s="32" t="s">
        <v>29</v>
      </c>
      <c r="AI3" s="30" t="s">
        <v>49</v>
      </c>
      <c r="AJ3" s="31" t="s">
        <v>56</v>
      </c>
      <c r="AK3" s="33" t="s">
        <v>1</v>
      </c>
    </row>
    <row r="4" spans="1:38" ht="20.25" customHeight="1" thickBot="1">
      <c r="A4" s="182" t="s">
        <v>2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4"/>
    </row>
    <row r="5" spans="1:38" ht="20.25" customHeight="1">
      <c r="A5" s="34" t="s">
        <v>5</v>
      </c>
      <c r="B5" s="35">
        <v>3252.59</v>
      </c>
      <c r="C5" s="36">
        <v>3000</v>
      </c>
      <c r="D5" s="37">
        <f>+B5-C5</f>
        <v>252.59000000000015</v>
      </c>
      <c r="E5" s="38">
        <v>3265.84</v>
      </c>
      <c r="F5" s="36">
        <v>3500</v>
      </c>
      <c r="G5" s="37">
        <f>+E5-F5</f>
        <v>-234.15999999999985</v>
      </c>
      <c r="H5" s="39">
        <f>1164.1+2325</f>
        <v>3489.1</v>
      </c>
      <c r="I5" s="36">
        <v>4500</v>
      </c>
      <c r="J5" s="37">
        <f>+H5-I5</f>
        <v>-1010.9000000000001</v>
      </c>
      <c r="K5" s="40">
        <f>1442.53+2566.32</f>
        <v>4008.8500000000004</v>
      </c>
      <c r="L5" s="41">
        <v>4500</v>
      </c>
      <c r="M5" s="42">
        <f t="shared" ref="M5:M14" si="0">+K5-L5</f>
        <v>-491.14999999999964</v>
      </c>
      <c r="N5" s="40">
        <v>3704.93</v>
      </c>
      <c r="O5" s="41">
        <v>4500</v>
      </c>
      <c r="P5" s="43">
        <f t="shared" ref="P5:P12" si="1">+N5-O5</f>
        <v>-795.07000000000016</v>
      </c>
      <c r="Q5" s="44">
        <v>4227.53</v>
      </c>
      <c r="R5" s="41">
        <v>4500</v>
      </c>
      <c r="S5" s="42">
        <f t="shared" ref="S5:S13" si="2">Q5-R5</f>
        <v>-272.47000000000025</v>
      </c>
      <c r="T5" s="45">
        <v>4550</v>
      </c>
      <c r="U5" s="41">
        <v>4600</v>
      </c>
      <c r="V5" s="42">
        <f t="shared" ref="V5:V12" si="3">T5-U5</f>
        <v>-50</v>
      </c>
      <c r="W5" s="46">
        <v>3386.94</v>
      </c>
      <c r="X5" s="41">
        <v>4600</v>
      </c>
      <c r="Y5" s="42">
        <f>W5-X5</f>
        <v>-1213.06</v>
      </c>
      <c r="Z5" s="45">
        <v>3646.09</v>
      </c>
      <c r="AA5" s="41">
        <v>4500</v>
      </c>
      <c r="AB5" s="42">
        <f>Z5-AA5</f>
        <v>-853.90999999999985</v>
      </c>
      <c r="AC5" s="45">
        <v>4220.47</v>
      </c>
      <c r="AD5" s="47">
        <v>4500</v>
      </c>
      <c r="AE5" s="42">
        <f>AC5-AD5</f>
        <v>-279.52999999999975</v>
      </c>
      <c r="AF5" s="45">
        <v>3569</v>
      </c>
      <c r="AG5" s="47">
        <v>4500</v>
      </c>
      <c r="AH5" s="42">
        <f>AF5-AG5</f>
        <v>-931</v>
      </c>
      <c r="AI5" s="45">
        <f>1366+1887.5</f>
        <v>3253.5</v>
      </c>
      <c r="AJ5" s="48">
        <f>+(AB5+AE5+AH5)/3</f>
        <v>-688.14666666666653</v>
      </c>
      <c r="AK5" s="47">
        <v>4500</v>
      </c>
    </row>
    <row r="6" spans="1:38" ht="20.25" customHeight="1">
      <c r="A6" s="49" t="s">
        <v>62</v>
      </c>
      <c r="B6" s="50">
        <f>1626.5+7080+530+791.58</f>
        <v>10028.08</v>
      </c>
      <c r="C6" s="51">
        <v>1000</v>
      </c>
      <c r="D6" s="52">
        <f t="shared" ref="D6:D14" si="4">+B6-C6</f>
        <v>9028.08</v>
      </c>
      <c r="E6" s="53">
        <v>23157.46</v>
      </c>
      <c r="F6" s="51">
        <v>1500</v>
      </c>
      <c r="G6" s="52">
        <f t="shared" ref="G6:G14" si="5">+E6-F6</f>
        <v>21657.46</v>
      </c>
      <c r="H6" s="54">
        <v>4805.08</v>
      </c>
      <c r="I6" s="51">
        <v>1500</v>
      </c>
      <c r="J6" s="52">
        <f t="shared" ref="J6:J14" si="6">+H6-I6</f>
        <v>3305.08</v>
      </c>
      <c r="K6" s="55">
        <v>953.18</v>
      </c>
      <c r="L6" s="56">
        <v>1500</v>
      </c>
      <c r="M6" s="57">
        <f t="shared" si="0"/>
        <v>-546.82000000000005</v>
      </c>
      <c r="N6" s="55">
        <v>7013.98</v>
      </c>
      <c r="O6" s="56">
        <v>1500</v>
      </c>
      <c r="P6" s="58">
        <f t="shared" si="1"/>
        <v>5513.98</v>
      </c>
      <c r="Q6" s="59">
        <v>1733.06</v>
      </c>
      <c r="R6" s="56">
        <v>1500</v>
      </c>
      <c r="S6" s="57">
        <f t="shared" si="2"/>
        <v>233.05999999999995</v>
      </c>
      <c r="T6" s="60">
        <v>1666.5</v>
      </c>
      <c r="U6" s="56">
        <v>1500</v>
      </c>
      <c r="V6" s="57">
        <f t="shared" si="3"/>
        <v>166.5</v>
      </c>
      <c r="W6" s="61">
        <v>1529.25</v>
      </c>
      <c r="X6" s="56">
        <v>1500</v>
      </c>
      <c r="Y6" s="57">
        <f t="shared" ref="Y6:Y13" si="7">W6-X6</f>
        <v>29.25</v>
      </c>
      <c r="Z6" s="60">
        <v>20613.53</v>
      </c>
      <c r="AA6" s="56">
        <v>1600</v>
      </c>
      <c r="AB6" s="57">
        <f t="shared" ref="AB6:AB13" si="8">Z6-AA6</f>
        <v>19013.53</v>
      </c>
      <c r="AC6" s="60">
        <v>4918.78</v>
      </c>
      <c r="AD6" s="62">
        <v>1600</v>
      </c>
      <c r="AE6" s="57">
        <f t="shared" ref="AE6:AE13" si="9">AC6-AD6</f>
        <v>3318.7799999999997</v>
      </c>
      <c r="AF6" s="60">
        <v>9147.35</v>
      </c>
      <c r="AG6" s="62">
        <v>1600</v>
      </c>
      <c r="AH6" s="57">
        <f t="shared" ref="AH6:AH13" si="10">AF6-AG6</f>
        <v>7547.35</v>
      </c>
      <c r="AI6" s="60">
        <f>9045.39-6690</f>
        <v>2355.3899999999994</v>
      </c>
      <c r="AJ6" s="63">
        <f t="shared" ref="AJ6:AJ13" si="11">+(AB6+AE6+AH6)/3</f>
        <v>9959.8866666666654</v>
      </c>
      <c r="AK6" s="62">
        <v>1800</v>
      </c>
    </row>
    <row r="7" spans="1:38" ht="20.25" customHeight="1">
      <c r="A7" s="136" t="s">
        <v>25</v>
      </c>
      <c r="B7" s="100">
        <v>1666.92</v>
      </c>
      <c r="C7" s="101">
        <v>1600</v>
      </c>
      <c r="D7" s="102">
        <f>+B7-C7</f>
        <v>66.920000000000073</v>
      </c>
      <c r="E7" s="100">
        <v>1574.05</v>
      </c>
      <c r="F7" s="101">
        <v>1800</v>
      </c>
      <c r="G7" s="102">
        <f>+E7-F7</f>
        <v>-225.95000000000005</v>
      </c>
      <c r="H7" s="103">
        <f>3333.83/2</f>
        <v>1666.915</v>
      </c>
      <c r="I7" s="101">
        <v>1800</v>
      </c>
      <c r="J7" s="102">
        <f>+H7-I7</f>
        <v>-133.08500000000004</v>
      </c>
      <c r="K7" s="55">
        <f>3509.29/2</f>
        <v>1754.645</v>
      </c>
      <c r="L7" s="56">
        <v>1800</v>
      </c>
      <c r="M7" s="57">
        <f>+K7-L7</f>
        <v>-45.355000000000018</v>
      </c>
      <c r="N7" s="55">
        <v>1805</v>
      </c>
      <c r="O7" s="56">
        <v>1800</v>
      </c>
      <c r="P7" s="104">
        <f>+N7-O7</f>
        <v>5</v>
      </c>
      <c r="Q7" s="59">
        <v>1852.5</v>
      </c>
      <c r="R7" s="56">
        <v>1800</v>
      </c>
      <c r="S7" s="57">
        <f>Q7-R7</f>
        <v>52.5</v>
      </c>
      <c r="T7" s="60">
        <v>1852.5</v>
      </c>
      <c r="U7" s="63">
        <v>1900</v>
      </c>
      <c r="V7" s="137">
        <f>T7-U7</f>
        <v>-47.5</v>
      </c>
      <c r="W7" s="61">
        <v>1886.25</v>
      </c>
      <c r="X7" s="63">
        <v>1900</v>
      </c>
      <c r="Y7" s="137">
        <f>W7-X7</f>
        <v>-13.75</v>
      </c>
      <c r="Z7" s="60">
        <v>2042.5</v>
      </c>
      <c r="AA7" s="63">
        <v>1900</v>
      </c>
      <c r="AB7" s="137">
        <f>Z7-AA7</f>
        <v>142.5</v>
      </c>
      <c r="AC7" s="60">
        <v>1995</v>
      </c>
      <c r="AD7" s="138">
        <v>2100</v>
      </c>
      <c r="AE7" s="137">
        <f>AC7-AD7</f>
        <v>-105</v>
      </c>
      <c r="AF7" s="60">
        <v>3075</v>
      </c>
      <c r="AG7" s="138">
        <v>2100</v>
      </c>
      <c r="AH7" s="57">
        <f>AF7-AG7</f>
        <v>975</v>
      </c>
      <c r="AI7" s="60">
        <v>3345</v>
      </c>
      <c r="AJ7" s="63">
        <f>+(AB7+AE7+AH7)/3</f>
        <v>337.5</v>
      </c>
      <c r="AK7" s="138">
        <v>3500</v>
      </c>
    </row>
    <row r="8" spans="1:38" ht="20.25" customHeight="1">
      <c r="A8" s="136" t="s">
        <v>51</v>
      </c>
      <c r="B8" s="100">
        <v>1666.92</v>
      </c>
      <c r="C8" s="101">
        <v>1600</v>
      </c>
      <c r="D8" s="102">
        <f>+B8-C8</f>
        <v>66.920000000000073</v>
      </c>
      <c r="E8" s="100">
        <v>1574.06</v>
      </c>
      <c r="F8" s="101">
        <v>1800</v>
      </c>
      <c r="G8" s="102">
        <f>+E8-F8</f>
        <v>-225.94000000000005</v>
      </c>
      <c r="H8" s="103">
        <v>1666.91</v>
      </c>
      <c r="I8" s="101">
        <v>1800</v>
      </c>
      <c r="J8" s="102">
        <f>+H8-I8</f>
        <v>-133.08999999999992</v>
      </c>
      <c r="K8" s="55">
        <f>3509.29/2</f>
        <v>1754.645</v>
      </c>
      <c r="L8" s="56">
        <v>1800</v>
      </c>
      <c r="M8" s="57">
        <f>+K8-L8</f>
        <v>-45.355000000000018</v>
      </c>
      <c r="N8" s="55">
        <v>1805</v>
      </c>
      <c r="O8" s="56">
        <v>1800</v>
      </c>
      <c r="P8" s="104">
        <f>+N8-O8</f>
        <v>5</v>
      </c>
      <c r="Q8" s="59">
        <v>1852.5</v>
      </c>
      <c r="R8" s="56">
        <v>1800</v>
      </c>
      <c r="S8" s="57">
        <f>Q8-R8</f>
        <v>52.5</v>
      </c>
      <c r="T8" s="60">
        <v>1852.5</v>
      </c>
      <c r="U8" s="63">
        <v>1900</v>
      </c>
      <c r="V8" s="137">
        <f>T8-U8</f>
        <v>-47.5</v>
      </c>
      <c r="W8" s="61">
        <v>1886.25</v>
      </c>
      <c r="X8" s="63">
        <v>1900</v>
      </c>
      <c r="Y8" s="137">
        <f>W8-X8</f>
        <v>-13.75</v>
      </c>
      <c r="Z8" s="60">
        <v>2042.5</v>
      </c>
      <c r="AA8" s="63">
        <v>1900</v>
      </c>
      <c r="AB8" s="137">
        <f>Z8-AA8</f>
        <v>142.5</v>
      </c>
      <c r="AC8" s="60">
        <v>1995</v>
      </c>
      <c r="AD8" s="138">
        <v>2100</v>
      </c>
      <c r="AE8" s="137">
        <f>AC8-AD8</f>
        <v>-105</v>
      </c>
      <c r="AF8" s="60">
        <v>3075</v>
      </c>
      <c r="AG8" s="138">
        <v>2100</v>
      </c>
      <c r="AH8" s="57">
        <f>AF8-AG8</f>
        <v>975</v>
      </c>
      <c r="AI8" s="60">
        <v>3345</v>
      </c>
      <c r="AJ8" s="63">
        <f>+(AB8+AE8+AH8)/3</f>
        <v>337.5</v>
      </c>
      <c r="AK8" s="138">
        <v>3500</v>
      </c>
    </row>
    <row r="9" spans="1:38" ht="20.25" customHeight="1">
      <c r="A9" s="49" t="s">
        <v>4</v>
      </c>
      <c r="B9" s="50">
        <v>2316.59</v>
      </c>
      <c r="C9" s="51">
        <v>2600</v>
      </c>
      <c r="D9" s="52">
        <f t="shared" si="4"/>
        <v>-283.40999999999985</v>
      </c>
      <c r="E9" s="53">
        <v>1651.74</v>
      </c>
      <c r="F9" s="51">
        <v>2500</v>
      </c>
      <c r="G9" s="52">
        <f t="shared" si="5"/>
        <v>-848.26</v>
      </c>
      <c r="H9" s="54">
        <v>1917.99</v>
      </c>
      <c r="I9" s="51">
        <v>3000</v>
      </c>
      <c r="J9" s="52">
        <f t="shared" si="6"/>
        <v>-1082.01</v>
      </c>
      <c r="K9" s="55">
        <v>1518.15</v>
      </c>
      <c r="L9" s="56">
        <v>3000</v>
      </c>
      <c r="M9" s="57">
        <f t="shared" si="0"/>
        <v>-1481.85</v>
      </c>
      <c r="N9" s="55">
        <v>1651.23</v>
      </c>
      <c r="O9" s="56">
        <v>3000</v>
      </c>
      <c r="P9" s="58">
        <f t="shared" si="1"/>
        <v>-1348.77</v>
      </c>
      <c r="Q9" s="59">
        <v>1838.28</v>
      </c>
      <c r="R9" s="56">
        <v>3000</v>
      </c>
      <c r="S9" s="57">
        <f t="shared" si="2"/>
        <v>-1161.72</v>
      </c>
      <c r="T9" s="60">
        <v>2013.39</v>
      </c>
      <c r="U9" s="56">
        <v>3200</v>
      </c>
      <c r="V9" s="57">
        <f t="shared" si="3"/>
        <v>-1186.6099999999999</v>
      </c>
      <c r="W9" s="61">
        <v>964</v>
      </c>
      <c r="X9" s="56">
        <v>3000</v>
      </c>
      <c r="Y9" s="57">
        <f t="shared" si="7"/>
        <v>-2036</v>
      </c>
      <c r="Z9" s="60">
        <v>1577.66</v>
      </c>
      <c r="AA9" s="56">
        <v>3000</v>
      </c>
      <c r="AB9" s="57">
        <f t="shared" si="8"/>
        <v>-1422.34</v>
      </c>
      <c r="AC9" s="60">
        <v>1825.22</v>
      </c>
      <c r="AD9" s="62">
        <v>3500</v>
      </c>
      <c r="AE9" s="57">
        <f t="shared" si="9"/>
        <v>-1674.78</v>
      </c>
      <c r="AF9" s="60">
        <v>2951.92</v>
      </c>
      <c r="AG9" s="62">
        <v>3500</v>
      </c>
      <c r="AH9" s="57">
        <f t="shared" si="10"/>
        <v>-548.07999999999993</v>
      </c>
      <c r="AI9" s="60">
        <v>2054.1799999999998</v>
      </c>
      <c r="AJ9" s="63">
        <f t="shared" si="11"/>
        <v>-1215.0666666666666</v>
      </c>
      <c r="AK9" s="62">
        <v>3500</v>
      </c>
    </row>
    <row r="10" spans="1:38" ht="20.25" customHeight="1">
      <c r="A10" s="49" t="s">
        <v>28</v>
      </c>
      <c r="B10" s="50">
        <f>682.32+6155.5</f>
        <v>6837.82</v>
      </c>
      <c r="C10" s="51">
        <v>6800</v>
      </c>
      <c r="D10" s="52">
        <f t="shared" si="4"/>
        <v>37.819999999999709</v>
      </c>
      <c r="E10" s="53">
        <v>7384.84</v>
      </c>
      <c r="F10" s="51">
        <v>7000</v>
      </c>
      <c r="G10" s="52">
        <f t="shared" si="5"/>
        <v>384.84000000000015</v>
      </c>
      <c r="H10" s="54">
        <f>90+177+888.66+6739</f>
        <v>7894.66</v>
      </c>
      <c r="I10" s="51">
        <v>7400</v>
      </c>
      <c r="J10" s="52">
        <f>+H10-I10</f>
        <v>494.65999999999985</v>
      </c>
      <c r="K10" s="55">
        <f>177.77+855.86+7559+90</f>
        <v>8682.630000000001</v>
      </c>
      <c r="L10" s="56">
        <v>7400</v>
      </c>
      <c r="M10" s="57">
        <f t="shared" si="0"/>
        <v>1282.630000000001</v>
      </c>
      <c r="N10" s="55">
        <v>9362.19</v>
      </c>
      <c r="O10" s="56">
        <v>8500</v>
      </c>
      <c r="P10" s="58">
        <f t="shared" si="1"/>
        <v>862.19000000000051</v>
      </c>
      <c r="Q10" s="59">
        <v>9522.57</v>
      </c>
      <c r="R10" s="56">
        <v>8500</v>
      </c>
      <c r="S10" s="57">
        <f t="shared" si="2"/>
        <v>1022.5699999999997</v>
      </c>
      <c r="T10" s="60">
        <v>9165.2099999999991</v>
      </c>
      <c r="U10" s="56">
        <v>8500</v>
      </c>
      <c r="V10" s="57">
        <f t="shared" si="3"/>
        <v>665.20999999999913</v>
      </c>
      <c r="W10" s="61">
        <v>9148.01</v>
      </c>
      <c r="X10" s="56">
        <v>8500</v>
      </c>
      <c r="Y10" s="57">
        <f t="shared" si="7"/>
        <v>648.01000000000022</v>
      </c>
      <c r="Z10" s="60">
        <v>10760.18</v>
      </c>
      <c r="AA10" s="56">
        <v>9000</v>
      </c>
      <c r="AB10" s="57">
        <f t="shared" si="8"/>
        <v>1760.1800000000003</v>
      </c>
      <c r="AC10" s="60">
        <v>11387.93</v>
      </c>
      <c r="AD10" s="62">
        <v>10000</v>
      </c>
      <c r="AE10" s="57">
        <f t="shared" si="9"/>
        <v>1387.9300000000003</v>
      </c>
      <c r="AF10" s="60">
        <v>11025.58</v>
      </c>
      <c r="AG10" s="62">
        <v>10000</v>
      </c>
      <c r="AH10" s="57">
        <f t="shared" si="10"/>
        <v>1025.58</v>
      </c>
      <c r="AI10" s="60">
        <f>13088.75-351.98</f>
        <v>12736.77</v>
      </c>
      <c r="AJ10" s="63">
        <f t="shared" si="11"/>
        <v>1391.2300000000002</v>
      </c>
      <c r="AK10" s="62">
        <v>15000</v>
      </c>
      <c r="AL10" s="179"/>
    </row>
    <row r="11" spans="1:38" ht="20.25" customHeight="1">
      <c r="A11" s="49" t="s">
        <v>6</v>
      </c>
      <c r="B11" s="50">
        <v>372.49</v>
      </c>
      <c r="C11" s="51">
        <v>500</v>
      </c>
      <c r="D11" s="52">
        <f t="shared" si="4"/>
        <v>-127.50999999999999</v>
      </c>
      <c r="E11" s="53">
        <v>327.39</v>
      </c>
      <c r="F11" s="51">
        <v>500</v>
      </c>
      <c r="G11" s="52">
        <f t="shared" si="5"/>
        <v>-172.61</v>
      </c>
      <c r="H11" s="54">
        <v>463.61</v>
      </c>
      <c r="I11" s="51">
        <v>400</v>
      </c>
      <c r="J11" s="52">
        <f t="shared" si="6"/>
        <v>63.610000000000014</v>
      </c>
      <c r="K11" s="55">
        <v>508.24</v>
      </c>
      <c r="L11" s="56">
        <v>400</v>
      </c>
      <c r="M11" s="57">
        <f t="shared" si="0"/>
        <v>108.24000000000001</v>
      </c>
      <c r="N11" s="55">
        <v>458.71</v>
      </c>
      <c r="O11" s="56">
        <v>500</v>
      </c>
      <c r="P11" s="58">
        <f t="shared" si="1"/>
        <v>-41.29000000000002</v>
      </c>
      <c r="Q11" s="59">
        <v>467.46</v>
      </c>
      <c r="R11" s="56">
        <v>500</v>
      </c>
      <c r="S11" s="57">
        <f t="shared" si="2"/>
        <v>-32.54000000000002</v>
      </c>
      <c r="T11" s="60">
        <v>519.46</v>
      </c>
      <c r="U11" s="56">
        <v>500</v>
      </c>
      <c r="V11" s="57">
        <f t="shared" si="3"/>
        <v>19.460000000000036</v>
      </c>
      <c r="W11" s="61">
        <v>535.72</v>
      </c>
      <c r="X11" s="56">
        <v>500</v>
      </c>
      <c r="Y11" s="57">
        <f t="shared" si="7"/>
        <v>35.720000000000027</v>
      </c>
      <c r="Z11" s="60">
        <v>537.75</v>
      </c>
      <c r="AA11" s="56">
        <v>550</v>
      </c>
      <c r="AB11" s="57">
        <f t="shared" si="8"/>
        <v>-12.25</v>
      </c>
      <c r="AC11" s="60">
        <v>508.01</v>
      </c>
      <c r="AD11" s="62">
        <v>550</v>
      </c>
      <c r="AE11" s="57">
        <f t="shared" si="9"/>
        <v>-41.990000000000009</v>
      </c>
      <c r="AF11" s="60">
        <v>686.12</v>
      </c>
      <c r="AG11" s="62">
        <v>700</v>
      </c>
      <c r="AH11" s="57">
        <f t="shared" si="10"/>
        <v>-13.879999999999995</v>
      </c>
      <c r="AI11" s="60">
        <v>716.69</v>
      </c>
      <c r="AJ11" s="63">
        <f t="shared" si="11"/>
        <v>-22.706666666666667</v>
      </c>
      <c r="AK11" s="62">
        <v>750</v>
      </c>
    </row>
    <row r="12" spans="1:38" ht="20.25" customHeight="1">
      <c r="A12" s="49" t="s">
        <v>7</v>
      </c>
      <c r="B12" s="50">
        <f>570.87+256</f>
        <v>826.87</v>
      </c>
      <c r="C12" s="51">
        <v>900</v>
      </c>
      <c r="D12" s="52">
        <f>+B12-C12</f>
        <v>-73.13</v>
      </c>
      <c r="E12" s="53">
        <v>834.95</v>
      </c>
      <c r="F12" s="51">
        <v>1000</v>
      </c>
      <c r="G12" s="52">
        <f>+E12-F12</f>
        <v>-165.04999999999995</v>
      </c>
      <c r="H12" s="53">
        <f>356.85+352.39+227</f>
        <v>936.24</v>
      </c>
      <c r="I12" s="51">
        <v>1000</v>
      </c>
      <c r="J12" s="52">
        <f>+H12-I12</f>
        <v>-63.759999999999991</v>
      </c>
      <c r="K12" s="59">
        <f>297.02+352.69+227</f>
        <v>876.71</v>
      </c>
      <c r="L12" s="56">
        <v>1000</v>
      </c>
      <c r="M12" s="57">
        <f>+K12-L12</f>
        <v>-123.28999999999996</v>
      </c>
      <c r="N12" s="64">
        <v>833.42</v>
      </c>
      <c r="O12" s="56">
        <v>1000</v>
      </c>
      <c r="P12" s="58">
        <f t="shared" si="1"/>
        <v>-166.58000000000004</v>
      </c>
      <c r="Q12" s="59">
        <v>983.66</v>
      </c>
      <c r="R12" s="56">
        <v>1000</v>
      </c>
      <c r="S12" s="57">
        <f t="shared" si="2"/>
        <v>-16.340000000000032</v>
      </c>
      <c r="T12" s="60">
        <v>807.9</v>
      </c>
      <c r="U12" s="56">
        <v>1050</v>
      </c>
      <c r="V12" s="57">
        <f t="shared" si="3"/>
        <v>-242.10000000000002</v>
      </c>
      <c r="W12" s="61">
        <v>906</v>
      </c>
      <c r="X12" s="56">
        <v>1050</v>
      </c>
      <c r="Y12" s="57">
        <f t="shared" si="7"/>
        <v>-144</v>
      </c>
      <c r="Z12" s="60">
        <v>933.24</v>
      </c>
      <c r="AA12" s="56">
        <v>900</v>
      </c>
      <c r="AB12" s="57">
        <f t="shared" si="8"/>
        <v>33.240000000000009</v>
      </c>
      <c r="AC12" s="60">
        <v>910.46</v>
      </c>
      <c r="AD12" s="62">
        <v>900</v>
      </c>
      <c r="AE12" s="57">
        <f t="shared" si="9"/>
        <v>10.460000000000036</v>
      </c>
      <c r="AF12" s="60">
        <v>943.24</v>
      </c>
      <c r="AG12" s="62">
        <v>900</v>
      </c>
      <c r="AH12" s="57">
        <f t="shared" si="10"/>
        <v>43.240000000000009</v>
      </c>
      <c r="AI12" s="60">
        <f>350+330+240</f>
        <v>920</v>
      </c>
      <c r="AJ12" s="63">
        <f t="shared" si="11"/>
        <v>28.980000000000018</v>
      </c>
      <c r="AK12" s="62">
        <v>1050</v>
      </c>
      <c r="AL12" s="179"/>
    </row>
    <row r="13" spans="1:38" ht="20.25" customHeight="1" thickBot="1">
      <c r="A13" s="65" t="s">
        <v>53</v>
      </c>
      <c r="B13" s="66"/>
      <c r="C13" s="67">
        <v>0</v>
      </c>
      <c r="D13" s="68"/>
      <c r="E13" s="69"/>
      <c r="F13" s="67"/>
      <c r="G13" s="68"/>
      <c r="H13" s="70"/>
      <c r="I13" s="67">
        <v>0</v>
      </c>
      <c r="J13" s="68"/>
      <c r="K13" s="71"/>
      <c r="L13" s="72">
        <v>0</v>
      </c>
      <c r="M13" s="73"/>
      <c r="N13" s="74">
        <v>0</v>
      </c>
      <c r="O13" s="72">
        <v>0</v>
      </c>
      <c r="P13" s="75">
        <v>0</v>
      </c>
      <c r="Q13" s="71">
        <v>25450</v>
      </c>
      <c r="R13" s="72">
        <v>25450</v>
      </c>
      <c r="S13" s="73">
        <f t="shared" si="2"/>
        <v>0</v>
      </c>
      <c r="T13" s="76">
        <v>0</v>
      </c>
      <c r="U13" s="72">
        <v>800</v>
      </c>
      <c r="V13" s="77">
        <v>-800</v>
      </c>
      <c r="W13" s="78">
        <v>1254.8800000000001</v>
      </c>
      <c r="X13" s="72">
        <v>800</v>
      </c>
      <c r="Y13" s="73">
        <f t="shared" si="7"/>
        <v>454.88000000000011</v>
      </c>
      <c r="Z13" s="76">
        <v>0</v>
      </c>
      <c r="AA13" s="72">
        <v>800</v>
      </c>
      <c r="AB13" s="73">
        <f t="shared" si="8"/>
        <v>-800</v>
      </c>
      <c r="AC13" s="76">
        <v>0</v>
      </c>
      <c r="AD13" s="79">
        <v>800</v>
      </c>
      <c r="AE13" s="73">
        <f t="shared" si="9"/>
        <v>-800</v>
      </c>
      <c r="AF13" s="76">
        <v>21425</v>
      </c>
      <c r="AG13" s="79">
        <v>800</v>
      </c>
      <c r="AH13" s="73">
        <f t="shared" si="10"/>
        <v>20625</v>
      </c>
      <c r="AI13" s="180">
        <v>5400</v>
      </c>
      <c r="AJ13" s="80">
        <f t="shared" si="11"/>
        <v>6341.666666666667</v>
      </c>
      <c r="AK13" s="79">
        <v>1200</v>
      </c>
    </row>
    <row r="14" spans="1:38" ht="20.25" customHeight="1" thickTop="1" thickBot="1">
      <c r="A14" s="81" t="s">
        <v>32</v>
      </c>
      <c r="B14" s="82">
        <f>SUM(B5:B12)</f>
        <v>26968.280000000002</v>
      </c>
      <c r="C14" s="83">
        <f>SUM(C5:C13)</f>
        <v>18000</v>
      </c>
      <c r="D14" s="84">
        <f t="shared" si="4"/>
        <v>8968.2800000000025</v>
      </c>
      <c r="E14" s="85">
        <f>SUM(E5:E12)</f>
        <v>39770.33</v>
      </c>
      <c r="F14" s="83">
        <f>SUM(F5:F12)</f>
        <v>19600</v>
      </c>
      <c r="G14" s="84">
        <f t="shared" si="5"/>
        <v>20170.330000000002</v>
      </c>
      <c r="H14" s="86">
        <f>SUM(H5:H12)</f>
        <v>22840.505000000001</v>
      </c>
      <c r="I14" s="83">
        <f>SUM(I5:I13)</f>
        <v>21400</v>
      </c>
      <c r="J14" s="84">
        <f t="shared" si="6"/>
        <v>1440.505000000001</v>
      </c>
      <c r="K14" s="87">
        <f>SUM(K5:K12)</f>
        <v>20057.050000000003</v>
      </c>
      <c r="L14" s="88">
        <f>SUM(L5:L13)</f>
        <v>21400</v>
      </c>
      <c r="M14" s="89">
        <f t="shared" si="0"/>
        <v>-1342.9499999999971</v>
      </c>
      <c r="N14" s="87">
        <f>SUM(N5:N13)</f>
        <v>26634.46</v>
      </c>
      <c r="O14" s="88">
        <f>SUM(O5:O13)</f>
        <v>22600</v>
      </c>
      <c r="P14" s="90">
        <f>SUM(P5:P13)</f>
        <v>4034.46</v>
      </c>
      <c r="Q14" s="87">
        <f>SUM(Q5:Q13)</f>
        <v>47927.56</v>
      </c>
      <c r="R14" s="88">
        <v>19000</v>
      </c>
      <c r="S14" s="89">
        <f t="shared" ref="S14:Y14" si="12">SUM(S5:S13)</f>
        <v>-122.44000000000068</v>
      </c>
      <c r="T14" s="91">
        <f t="shared" si="12"/>
        <v>22427.46</v>
      </c>
      <c r="U14" s="88">
        <f t="shared" si="12"/>
        <v>23950</v>
      </c>
      <c r="V14" s="89">
        <f t="shared" si="12"/>
        <v>-1522.5400000000009</v>
      </c>
      <c r="W14" s="92">
        <f t="shared" si="12"/>
        <v>21497.300000000003</v>
      </c>
      <c r="X14" s="88">
        <f t="shared" si="12"/>
        <v>23750</v>
      </c>
      <c r="Y14" s="89">
        <f t="shared" si="12"/>
        <v>-2252.6999999999998</v>
      </c>
      <c r="Z14" s="91">
        <f t="shared" ref="Z14:AB14" si="13">SUM(Z5:Z13)</f>
        <v>42153.45</v>
      </c>
      <c r="AA14" s="88">
        <f>SUM(AA5:AA13)</f>
        <v>24150</v>
      </c>
      <c r="AB14" s="89">
        <f t="shared" si="13"/>
        <v>18003.45</v>
      </c>
      <c r="AC14" s="91">
        <f t="shared" ref="AC14" si="14">SUM(AC5:AC13)</f>
        <v>27760.87</v>
      </c>
      <c r="AD14" s="88">
        <f>SUM(AD5:AD13)</f>
        <v>26050</v>
      </c>
      <c r="AE14" s="89">
        <f t="shared" ref="AE14:AH14" si="15">SUM(AE5:AE13)</f>
        <v>1710.8700000000008</v>
      </c>
      <c r="AF14" s="91">
        <f t="shared" si="15"/>
        <v>55898.21</v>
      </c>
      <c r="AG14" s="93">
        <f t="shared" si="15"/>
        <v>26200</v>
      </c>
      <c r="AH14" s="94">
        <f t="shared" si="15"/>
        <v>29698.21</v>
      </c>
      <c r="AI14" s="91">
        <f>SUM(AI5:AI13)</f>
        <v>34126.53</v>
      </c>
      <c r="AJ14" s="93">
        <f>SUM(AJ5:AJ12)</f>
        <v>10129.176666666664</v>
      </c>
      <c r="AK14" s="94">
        <f>SUM(AK5:AK13)</f>
        <v>34800</v>
      </c>
    </row>
    <row r="15" spans="1:38" ht="20.25" customHeight="1" thickBot="1">
      <c r="A15" s="182" t="s">
        <v>35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4"/>
    </row>
    <row r="16" spans="1:38" ht="20.25" customHeight="1">
      <c r="A16" s="34" t="s">
        <v>48</v>
      </c>
      <c r="B16" s="95">
        <v>0</v>
      </c>
      <c r="C16" s="96">
        <v>200</v>
      </c>
      <c r="D16" s="97">
        <f t="shared" ref="D16:D29" si="16">+B16-C16</f>
        <v>-200</v>
      </c>
      <c r="E16" s="95">
        <v>0</v>
      </c>
      <c r="F16" s="96">
        <v>200</v>
      </c>
      <c r="G16" s="97">
        <f t="shared" ref="G16:G29" si="17">+E16-F16</f>
        <v>-200</v>
      </c>
      <c r="H16" s="98">
        <v>99.15</v>
      </c>
      <c r="I16" s="96">
        <v>200</v>
      </c>
      <c r="J16" s="97">
        <f t="shared" ref="J16:J29" si="18">+H16-I16</f>
        <v>-100.85</v>
      </c>
      <c r="K16" s="40">
        <v>84.74</v>
      </c>
      <c r="L16" s="41">
        <v>200</v>
      </c>
      <c r="M16" s="42">
        <f t="shared" ref="M16:M28" si="19">+K16-L16</f>
        <v>-115.26</v>
      </c>
      <c r="N16" s="40">
        <v>88.67</v>
      </c>
      <c r="O16" s="41">
        <v>150</v>
      </c>
      <c r="P16" s="99">
        <f t="shared" ref="P16:P28" si="20">+N16-O16</f>
        <v>-61.33</v>
      </c>
      <c r="Q16" s="44">
        <v>84.65</v>
      </c>
      <c r="R16" s="41">
        <v>150</v>
      </c>
      <c r="S16" s="42">
        <f t="shared" ref="S16:S28" si="21">Q16-R16</f>
        <v>-65.349999999999994</v>
      </c>
      <c r="T16" s="45">
        <v>0</v>
      </c>
      <c r="U16" s="41">
        <v>150</v>
      </c>
      <c r="V16" s="42">
        <f>T16-U16</f>
        <v>-150</v>
      </c>
      <c r="W16" s="46">
        <v>139.21</v>
      </c>
      <c r="X16" s="41">
        <v>150</v>
      </c>
      <c r="Y16" s="42">
        <f t="shared" ref="Y16:Y25" si="22">W16-X16</f>
        <v>-10.789999999999992</v>
      </c>
      <c r="Z16" s="45">
        <v>97.37</v>
      </c>
      <c r="AA16" s="41">
        <v>150</v>
      </c>
      <c r="AB16" s="42">
        <f t="shared" ref="AB16:AB25" si="23">Z16-AA16</f>
        <v>-52.629999999999995</v>
      </c>
      <c r="AC16" s="45">
        <v>140.97999999999999</v>
      </c>
      <c r="AD16" s="47">
        <v>150</v>
      </c>
      <c r="AE16" s="42">
        <f t="shared" ref="AE16:AE25" si="24">AC16-AD16</f>
        <v>-9.0200000000000102</v>
      </c>
      <c r="AF16" s="45">
        <v>95.11</v>
      </c>
      <c r="AG16" s="47">
        <v>150</v>
      </c>
      <c r="AH16" s="42">
        <f t="shared" ref="AH16:AH28" si="25">AF16-AG16</f>
        <v>-54.89</v>
      </c>
      <c r="AI16" s="45">
        <v>160.75</v>
      </c>
      <c r="AJ16" s="48">
        <f>+(AB16+AE16+AH16)/3</f>
        <v>-38.846666666666671</v>
      </c>
      <c r="AK16" s="47">
        <v>200</v>
      </c>
    </row>
    <row r="17" spans="1:38" ht="20.25" customHeight="1">
      <c r="A17" s="49" t="s">
        <v>15</v>
      </c>
      <c r="B17" s="100">
        <v>389.54</v>
      </c>
      <c r="C17" s="101">
        <v>500</v>
      </c>
      <c r="D17" s="102">
        <f t="shared" si="16"/>
        <v>-110.45999999999998</v>
      </c>
      <c r="E17" s="100">
        <v>501.96</v>
      </c>
      <c r="F17" s="101">
        <v>500</v>
      </c>
      <c r="G17" s="102">
        <f t="shared" si="17"/>
        <v>1.9599999999999795</v>
      </c>
      <c r="H17" s="103">
        <v>348.55</v>
      </c>
      <c r="I17" s="101">
        <v>500</v>
      </c>
      <c r="J17" s="102">
        <f t="shared" si="18"/>
        <v>-151.44999999999999</v>
      </c>
      <c r="K17" s="55">
        <v>313.16000000000003</v>
      </c>
      <c r="L17" s="56">
        <v>500</v>
      </c>
      <c r="M17" s="57">
        <f t="shared" si="19"/>
        <v>-186.83999999999997</v>
      </c>
      <c r="N17" s="55">
        <v>319.58999999999997</v>
      </c>
      <c r="O17" s="56">
        <v>500</v>
      </c>
      <c r="P17" s="104">
        <f t="shared" si="20"/>
        <v>-180.41000000000003</v>
      </c>
      <c r="Q17" s="59">
        <v>320.33999999999997</v>
      </c>
      <c r="R17" s="56">
        <v>500</v>
      </c>
      <c r="S17" s="57">
        <f t="shared" si="21"/>
        <v>-179.66000000000003</v>
      </c>
      <c r="T17" s="60">
        <v>329.84</v>
      </c>
      <c r="U17" s="56">
        <v>500</v>
      </c>
      <c r="V17" s="57">
        <f t="shared" ref="V17:V28" si="26">T17-U17</f>
        <v>-170.16000000000003</v>
      </c>
      <c r="W17" s="61">
        <v>315.20999999999998</v>
      </c>
      <c r="X17" s="56">
        <v>500</v>
      </c>
      <c r="Y17" s="57">
        <f t="shared" si="22"/>
        <v>-184.79000000000002</v>
      </c>
      <c r="Z17" s="60">
        <v>322.89</v>
      </c>
      <c r="AA17" s="56">
        <v>400</v>
      </c>
      <c r="AB17" s="57">
        <f t="shared" si="23"/>
        <v>-77.110000000000014</v>
      </c>
      <c r="AC17" s="60">
        <v>344.62</v>
      </c>
      <c r="AD17" s="62">
        <v>400</v>
      </c>
      <c r="AE17" s="57">
        <f t="shared" si="24"/>
        <v>-55.379999999999995</v>
      </c>
      <c r="AF17" s="60">
        <v>354.7</v>
      </c>
      <c r="AG17" s="62">
        <v>400</v>
      </c>
      <c r="AH17" s="57">
        <f t="shared" si="25"/>
        <v>-45.300000000000011</v>
      </c>
      <c r="AI17" s="60">
        <v>375.19</v>
      </c>
      <c r="AJ17" s="63">
        <f t="shared" ref="AJ17:AJ28" si="27">+(AB17+AE17+AH17)/3</f>
        <v>-59.263333333333343</v>
      </c>
      <c r="AK17" s="62">
        <v>400</v>
      </c>
    </row>
    <row r="18" spans="1:38" ht="20.25" customHeight="1">
      <c r="A18" s="49" t="s">
        <v>16</v>
      </c>
      <c r="B18" s="100">
        <v>0</v>
      </c>
      <c r="C18" s="101">
        <v>300</v>
      </c>
      <c r="D18" s="102">
        <f t="shared" si="16"/>
        <v>-300</v>
      </c>
      <c r="E18" s="100">
        <v>76.33</v>
      </c>
      <c r="F18" s="101">
        <v>300</v>
      </c>
      <c r="G18" s="102">
        <f t="shared" si="17"/>
        <v>-223.67000000000002</v>
      </c>
      <c r="H18" s="103">
        <v>162.66</v>
      </c>
      <c r="I18" s="101">
        <v>300</v>
      </c>
      <c r="J18" s="102">
        <f t="shared" si="18"/>
        <v>-137.34</v>
      </c>
      <c r="K18" s="55">
        <v>0</v>
      </c>
      <c r="L18" s="56">
        <v>300</v>
      </c>
      <c r="M18" s="57">
        <f t="shared" si="19"/>
        <v>-300</v>
      </c>
      <c r="N18" s="55">
        <v>0</v>
      </c>
      <c r="O18" s="56">
        <v>300</v>
      </c>
      <c r="P18" s="104">
        <f t="shared" si="20"/>
        <v>-300</v>
      </c>
      <c r="Q18" s="59">
        <v>0</v>
      </c>
      <c r="R18" s="56">
        <v>300</v>
      </c>
      <c r="S18" s="57">
        <f t="shared" si="21"/>
        <v>-300</v>
      </c>
      <c r="T18" s="60">
        <v>0</v>
      </c>
      <c r="U18" s="56">
        <v>300</v>
      </c>
      <c r="V18" s="57">
        <f t="shared" si="26"/>
        <v>-300</v>
      </c>
      <c r="W18" s="61">
        <v>0</v>
      </c>
      <c r="X18" s="56">
        <v>300</v>
      </c>
      <c r="Y18" s="57">
        <f t="shared" si="22"/>
        <v>-300</v>
      </c>
      <c r="Z18" s="60">
        <v>0</v>
      </c>
      <c r="AA18" s="56">
        <v>300</v>
      </c>
      <c r="AB18" s="57">
        <f t="shared" si="23"/>
        <v>-300</v>
      </c>
      <c r="AC18" s="60">
        <v>0</v>
      </c>
      <c r="AD18" s="62">
        <v>300</v>
      </c>
      <c r="AE18" s="57">
        <f t="shared" si="24"/>
        <v>-300</v>
      </c>
      <c r="AF18" s="60">
        <v>0</v>
      </c>
      <c r="AG18" s="62">
        <v>300</v>
      </c>
      <c r="AH18" s="57">
        <f t="shared" si="25"/>
        <v>-300</v>
      </c>
      <c r="AI18" s="60">
        <v>0</v>
      </c>
      <c r="AJ18" s="63">
        <f t="shared" si="27"/>
        <v>-300</v>
      </c>
      <c r="AK18" s="62">
        <v>300</v>
      </c>
    </row>
    <row r="19" spans="1:38" ht="20.25" customHeight="1">
      <c r="A19" s="49" t="s">
        <v>14</v>
      </c>
      <c r="B19" s="100">
        <v>0</v>
      </c>
      <c r="C19" s="101">
        <v>200</v>
      </c>
      <c r="D19" s="102">
        <f t="shared" si="16"/>
        <v>-200</v>
      </c>
      <c r="E19" s="100">
        <v>109</v>
      </c>
      <c r="F19" s="101">
        <v>200</v>
      </c>
      <c r="G19" s="102">
        <f t="shared" si="17"/>
        <v>-91</v>
      </c>
      <c r="H19" s="103">
        <v>109</v>
      </c>
      <c r="I19" s="101">
        <v>200</v>
      </c>
      <c r="J19" s="102">
        <f t="shared" si="18"/>
        <v>-91</v>
      </c>
      <c r="K19" s="55">
        <v>0</v>
      </c>
      <c r="L19" s="56">
        <v>200</v>
      </c>
      <c r="M19" s="57">
        <f t="shared" si="19"/>
        <v>-200</v>
      </c>
      <c r="N19" s="55">
        <v>0</v>
      </c>
      <c r="O19" s="56">
        <v>200</v>
      </c>
      <c r="P19" s="104">
        <f t="shared" si="20"/>
        <v>-200</v>
      </c>
      <c r="Q19" s="59">
        <v>0</v>
      </c>
      <c r="R19" s="56">
        <v>200</v>
      </c>
      <c r="S19" s="57">
        <f t="shared" si="21"/>
        <v>-200</v>
      </c>
      <c r="T19" s="60">
        <v>0</v>
      </c>
      <c r="U19" s="56">
        <v>200</v>
      </c>
      <c r="V19" s="57">
        <f t="shared" si="26"/>
        <v>-200</v>
      </c>
      <c r="W19" s="61">
        <v>0</v>
      </c>
      <c r="X19" s="56">
        <v>200</v>
      </c>
      <c r="Y19" s="57">
        <f t="shared" si="22"/>
        <v>-200</v>
      </c>
      <c r="Z19" s="60">
        <v>0</v>
      </c>
      <c r="AA19" s="56">
        <v>200</v>
      </c>
      <c r="AB19" s="57">
        <f t="shared" si="23"/>
        <v>-200</v>
      </c>
      <c r="AC19" s="60">
        <v>0</v>
      </c>
      <c r="AD19" s="62">
        <v>200</v>
      </c>
      <c r="AE19" s="57">
        <f t="shared" si="24"/>
        <v>-200</v>
      </c>
      <c r="AF19" s="60">
        <v>179.29</v>
      </c>
      <c r="AG19" s="62">
        <v>200</v>
      </c>
      <c r="AH19" s="57">
        <f t="shared" si="25"/>
        <v>-20.710000000000008</v>
      </c>
      <c r="AI19" s="60">
        <v>298.60000000000002</v>
      </c>
      <c r="AJ19" s="63">
        <f t="shared" si="27"/>
        <v>-140.23666666666668</v>
      </c>
      <c r="AK19" s="62">
        <v>300</v>
      </c>
    </row>
    <row r="20" spans="1:38" ht="20.25" customHeight="1">
      <c r="A20" s="49" t="s">
        <v>18</v>
      </c>
      <c r="B20" s="100">
        <v>0</v>
      </c>
      <c r="C20" s="101">
        <v>200</v>
      </c>
      <c r="D20" s="102">
        <f t="shared" si="16"/>
        <v>-200</v>
      </c>
      <c r="E20" s="100">
        <v>32</v>
      </c>
      <c r="F20" s="101">
        <v>200</v>
      </c>
      <c r="G20" s="102">
        <f t="shared" si="17"/>
        <v>-168</v>
      </c>
      <c r="H20" s="103">
        <v>0</v>
      </c>
      <c r="I20" s="101">
        <v>200</v>
      </c>
      <c r="J20" s="102">
        <f t="shared" si="18"/>
        <v>-200</v>
      </c>
      <c r="K20" s="55">
        <v>0</v>
      </c>
      <c r="L20" s="56">
        <v>200</v>
      </c>
      <c r="M20" s="57">
        <f t="shared" si="19"/>
        <v>-200</v>
      </c>
      <c r="N20" s="55">
        <v>15</v>
      </c>
      <c r="O20" s="56">
        <v>100</v>
      </c>
      <c r="P20" s="104">
        <f t="shared" si="20"/>
        <v>-85</v>
      </c>
      <c r="Q20" s="59">
        <v>0</v>
      </c>
      <c r="R20" s="56">
        <v>100</v>
      </c>
      <c r="S20" s="57">
        <f t="shared" si="21"/>
        <v>-100</v>
      </c>
      <c r="T20" s="60">
        <v>0</v>
      </c>
      <c r="U20" s="56">
        <v>100</v>
      </c>
      <c r="V20" s="57">
        <f t="shared" si="26"/>
        <v>-100</v>
      </c>
      <c r="W20" s="61">
        <v>0</v>
      </c>
      <c r="X20" s="56">
        <v>100</v>
      </c>
      <c r="Y20" s="57">
        <f t="shared" si="22"/>
        <v>-100</v>
      </c>
      <c r="Z20" s="60">
        <v>0</v>
      </c>
      <c r="AA20" s="56">
        <v>100</v>
      </c>
      <c r="AB20" s="57">
        <f t="shared" si="23"/>
        <v>-100</v>
      </c>
      <c r="AC20" s="60">
        <v>0</v>
      </c>
      <c r="AD20" s="62">
        <v>100</v>
      </c>
      <c r="AE20" s="57">
        <f t="shared" si="24"/>
        <v>-100</v>
      </c>
      <c r="AF20" s="60">
        <v>175</v>
      </c>
      <c r="AG20" s="62">
        <v>100</v>
      </c>
      <c r="AH20" s="57">
        <f t="shared" si="25"/>
        <v>75</v>
      </c>
      <c r="AI20" s="60">
        <v>0</v>
      </c>
      <c r="AJ20" s="63">
        <f t="shared" si="27"/>
        <v>-41.666666666666664</v>
      </c>
      <c r="AK20" s="62">
        <v>300</v>
      </c>
    </row>
    <row r="21" spans="1:38" ht="20.25" customHeight="1">
      <c r="A21" s="49" t="s">
        <v>20</v>
      </c>
      <c r="B21" s="100">
        <v>0</v>
      </c>
      <c r="C21" s="101">
        <v>1500</v>
      </c>
      <c r="D21" s="102">
        <f t="shared" si="16"/>
        <v>-1500</v>
      </c>
      <c r="E21" s="100">
        <v>418.78</v>
      </c>
      <c r="F21" s="101">
        <v>1000</v>
      </c>
      <c r="G21" s="102">
        <f t="shared" si="17"/>
        <v>-581.22</v>
      </c>
      <c r="H21" s="103">
        <f>61+125</f>
        <v>186</v>
      </c>
      <c r="I21" s="101">
        <v>1000</v>
      </c>
      <c r="J21" s="102">
        <f t="shared" si="18"/>
        <v>-814</v>
      </c>
      <c r="K21" s="55">
        <f>10+130+1200+52+89+25</f>
        <v>1506</v>
      </c>
      <c r="L21" s="56">
        <v>1000</v>
      </c>
      <c r="M21" s="57">
        <f t="shared" si="19"/>
        <v>506</v>
      </c>
      <c r="N21" s="55">
        <v>470.01</v>
      </c>
      <c r="O21" s="56">
        <v>500</v>
      </c>
      <c r="P21" s="104">
        <f t="shared" si="20"/>
        <v>-29.990000000000009</v>
      </c>
      <c r="Q21" s="59">
        <v>678.82</v>
      </c>
      <c r="R21" s="56">
        <v>500</v>
      </c>
      <c r="S21" s="57">
        <f t="shared" si="21"/>
        <v>178.82000000000005</v>
      </c>
      <c r="T21" s="60">
        <v>426</v>
      </c>
      <c r="U21" s="56">
        <v>500</v>
      </c>
      <c r="V21" s="57">
        <f t="shared" si="26"/>
        <v>-74</v>
      </c>
      <c r="W21" s="61">
        <v>214</v>
      </c>
      <c r="X21" s="56">
        <v>500</v>
      </c>
      <c r="Y21" s="57">
        <f t="shared" si="22"/>
        <v>-286</v>
      </c>
      <c r="Z21" s="60">
        <v>500</v>
      </c>
      <c r="AA21" s="56">
        <v>500</v>
      </c>
      <c r="AB21" s="57">
        <f t="shared" si="23"/>
        <v>0</v>
      </c>
      <c r="AC21" s="60">
        <v>426.37</v>
      </c>
      <c r="AD21" s="62">
        <v>500</v>
      </c>
      <c r="AE21" s="57">
        <f t="shared" si="24"/>
        <v>-73.63</v>
      </c>
      <c r="AF21" s="60">
        <v>10956.63</v>
      </c>
      <c r="AG21" s="62">
        <v>500</v>
      </c>
      <c r="AH21" s="57">
        <f t="shared" si="25"/>
        <v>10456.629999999999</v>
      </c>
      <c r="AI21" s="60">
        <f>648.16-160.75</f>
        <v>487.40999999999997</v>
      </c>
      <c r="AJ21" s="63">
        <f t="shared" si="27"/>
        <v>3461</v>
      </c>
      <c r="AK21" s="62">
        <v>500</v>
      </c>
    </row>
    <row r="22" spans="1:38" ht="20.25" hidden="1" customHeight="1">
      <c r="A22" s="178" t="s">
        <v>78</v>
      </c>
      <c r="B22" s="100">
        <v>154.81</v>
      </c>
      <c r="C22" s="101">
        <v>400</v>
      </c>
      <c r="D22" s="102">
        <f t="shared" si="16"/>
        <v>-245.19</v>
      </c>
      <c r="E22" s="100">
        <v>312.69</v>
      </c>
      <c r="F22" s="101">
        <v>300</v>
      </c>
      <c r="G22" s="102">
        <f t="shared" si="17"/>
        <v>12.689999999999998</v>
      </c>
      <c r="H22" s="103">
        <f>284.18+86.83</f>
        <v>371.01</v>
      </c>
      <c r="I22" s="101">
        <v>300</v>
      </c>
      <c r="J22" s="102">
        <f t="shared" si="18"/>
        <v>71.009999999999991</v>
      </c>
      <c r="K22" s="55">
        <f>153.23+42.58</f>
        <v>195.81</v>
      </c>
      <c r="L22" s="56">
        <v>300</v>
      </c>
      <c r="M22" s="57">
        <f t="shared" si="19"/>
        <v>-104.19</v>
      </c>
      <c r="N22" s="55">
        <v>233.91</v>
      </c>
      <c r="O22" s="56">
        <v>300</v>
      </c>
      <c r="P22" s="104">
        <f t="shared" si="20"/>
        <v>-66.09</v>
      </c>
      <c r="Q22" s="59">
        <v>346.36</v>
      </c>
      <c r="R22" s="56">
        <v>300</v>
      </c>
      <c r="S22" s="57">
        <f t="shared" si="21"/>
        <v>46.360000000000014</v>
      </c>
      <c r="T22" s="60">
        <v>220.3</v>
      </c>
      <c r="U22" s="56">
        <v>350</v>
      </c>
      <c r="V22" s="57">
        <f t="shared" si="26"/>
        <v>-129.69999999999999</v>
      </c>
      <c r="W22" s="61">
        <v>110</v>
      </c>
      <c r="X22" s="56">
        <v>350</v>
      </c>
      <c r="Y22" s="57">
        <f t="shared" si="22"/>
        <v>-240</v>
      </c>
      <c r="Z22" s="60"/>
      <c r="AA22" s="56"/>
      <c r="AB22" s="57"/>
      <c r="AC22" s="60"/>
      <c r="AD22" s="62"/>
      <c r="AE22" s="57"/>
      <c r="AF22" s="60"/>
      <c r="AG22" s="62"/>
      <c r="AH22" s="57"/>
      <c r="AI22" s="60"/>
      <c r="AJ22" s="63">
        <f>+(AB22+AE22+AH22)/3</f>
        <v>0</v>
      </c>
      <c r="AK22" s="62"/>
    </row>
    <row r="23" spans="1:38" ht="20.25" customHeight="1">
      <c r="A23" s="49" t="s">
        <v>75</v>
      </c>
      <c r="B23" s="100"/>
      <c r="C23" s="101"/>
      <c r="D23" s="102"/>
      <c r="E23" s="100"/>
      <c r="F23" s="101"/>
      <c r="G23" s="102"/>
      <c r="H23" s="103"/>
      <c r="I23" s="101"/>
      <c r="J23" s="102"/>
      <c r="K23" s="55"/>
      <c r="L23" s="56"/>
      <c r="M23" s="57"/>
      <c r="N23" s="55"/>
      <c r="O23" s="56"/>
      <c r="P23" s="104"/>
      <c r="Q23" s="59"/>
      <c r="R23" s="56"/>
      <c r="S23" s="57"/>
      <c r="T23" s="60"/>
      <c r="U23" s="56"/>
      <c r="V23" s="57"/>
      <c r="W23" s="61"/>
      <c r="X23" s="56"/>
      <c r="Y23" s="57"/>
      <c r="Z23" s="60">
        <f>156.71+796.31+1976.91</f>
        <v>2929.9300000000003</v>
      </c>
      <c r="AA23" s="56">
        <f>350+700+1700</f>
        <v>2750</v>
      </c>
      <c r="AB23" s="57">
        <f t="shared" si="23"/>
        <v>179.93000000000029</v>
      </c>
      <c r="AC23" s="60">
        <f>280.67+921.56+2034.05</f>
        <v>3236.2799999999997</v>
      </c>
      <c r="AD23" s="62">
        <f>350+700+2100</f>
        <v>3150</v>
      </c>
      <c r="AE23" s="57">
        <f t="shared" si="24"/>
        <v>86.279999999999745</v>
      </c>
      <c r="AF23" s="60">
        <f>636.79+797.61+1657.62</f>
        <v>3092.02</v>
      </c>
      <c r="AG23" s="62">
        <v>3350</v>
      </c>
      <c r="AH23" s="57">
        <f t="shared" si="25"/>
        <v>-257.98</v>
      </c>
      <c r="AI23" s="60">
        <f>4885.7-375.19</f>
        <v>4510.51</v>
      </c>
      <c r="AJ23" s="63">
        <f>+(AB23+AE23+AH23)/3</f>
        <v>2.7433333333333394</v>
      </c>
      <c r="AK23" s="62">
        <v>5000</v>
      </c>
    </row>
    <row r="24" spans="1:38" ht="20.25" hidden="1" customHeight="1">
      <c r="A24" s="178" t="s">
        <v>77</v>
      </c>
      <c r="B24" s="100">
        <v>1255.8</v>
      </c>
      <c r="C24" s="101">
        <v>1400</v>
      </c>
      <c r="D24" s="102">
        <f t="shared" si="16"/>
        <v>-144.20000000000005</v>
      </c>
      <c r="E24" s="100">
        <v>1206.04</v>
      </c>
      <c r="F24" s="101">
        <v>1400</v>
      </c>
      <c r="G24" s="102">
        <f t="shared" si="17"/>
        <v>-193.96000000000004</v>
      </c>
      <c r="H24" s="103">
        <v>1416.79</v>
      </c>
      <c r="I24" s="101">
        <v>1400</v>
      </c>
      <c r="J24" s="102">
        <f t="shared" si="18"/>
        <v>16.789999999999964</v>
      </c>
      <c r="K24" s="55">
        <v>950.44</v>
      </c>
      <c r="L24" s="56">
        <v>1400</v>
      </c>
      <c r="M24" s="57">
        <f t="shared" si="19"/>
        <v>-449.55999999999995</v>
      </c>
      <c r="N24" s="55">
        <v>616.42999999999995</v>
      </c>
      <c r="O24" s="56">
        <v>700</v>
      </c>
      <c r="P24" s="104">
        <f t="shared" si="20"/>
        <v>-83.57000000000005</v>
      </c>
      <c r="Q24" s="59">
        <v>623.30999999999995</v>
      </c>
      <c r="R24" s="56">
        <v>700</v>
      </c>
      <c r="S24" s="57">
        <f t="shared" si="21"/>
        <v>-76.690000000000055</v>
      </c>
      <c r="T24" s="60">
        <v>682.14</v>
      </c>
      <c r="U24" s="56">
        <v>700</v>
      </c>
      <c r="V24" s="57">
        <f t="shared" si="26"/>
        <v>-17.860000000000014</v>
      </c>
      <c r="W24" s="61">
        <v>771.21</v>
      </c>
      <c r="X24" s="56">
        <v>700</v>
      </c>
      <c r="Y24" s="57">
        <f t="shared" si="22"/>
        <v>71.210000000000036</v>
      </c>
      <c r="Z24" s="60"/>
      <c r="AA24" s="56"/>
      <c r="AB24" s="57"/>
      <c r="AC24" s="60"/>
      <c r="AD24" s="62"/>
      <c r="AE24" s="57"/>
      <c r="AF24" s="60"/>
      <c r="AG24" s="62"/>
      <c r="AH24" s="57"/>
      <c r="AI24" s="60"/>
      <c r="AJ24" s="63">
        <f t="shared" si="27"/>
        <v>0</v>
      </c>
      <c r="AK24" s="62"/>
    </row>
    <row r="25" spans="1:38" ht="20.25" customHeight="1">
      <c r="A25" s="49" t="s">
        <v>17</v>
      </c>
      <c r="B25" s="100">
        <v>0</v>
      </c>
      <c r="C25" s="101">
        <v>300</v>
      </c>
      <c r="D25" s="102">
        <f t="shared" si="16"/>
        <v>-300</v>
      </c>
      <c r="E25" s="100">
        <v>0</v>
      </c>
      <c r="F25" s="101">
        <v>400</v>
      </c>
      <c r="G25" s="102">
        <f t="shared" si="17"/>
        <v>-400</v>
      </c>
      <c r="H25" s="103">
        <v>0</v>
      </c>
      <c r="I25" s="101">
        <v>450</v>
      </c>
      <c r="J25" s="102">
        <f t="shared" si="18"/>
        <v>-450</v>
      </c>
      <c r="K25" s="55">
        <v>0</v>
      </c>
      <c r="L25" s="56">
        <v>450</v>
      </c>
      <c r="M25" s="57">
        <f t="shared" si="19"/>
        <v>-450</v>
      </c>
      <c r="N25" s="55">
        <v>1578</v>
      </c>
      <c r="O25" s="56">
        <v>800</v>
      </c>
      <c r="P25" s="104">
        <f t="shared" si="20"/>
        <v>778</v>
      </c>
      <c r="Q25" s="59">
        <v>374</v>
      </c>
      <c r="R25" s="56">
        <v>400</v>
      </c>
      <c r="S25" s="57">
        <f t="shared" si="21"/>
        <v>-26</v>
      </c>
      <c r="T25" s="60">
        <v>0</v>
      </c>
      <c r="U25" s="56">
        <v>400</v>
      </c>
      <c r="V25" s="57">
        <f t="shared" si="26"/>
        <v>-400</v>
      </c>
      <c r="W25" s="61">
        <v>376</v>
      </c>
      <c r="X25" s="56">
        <v>400</v>
      </c>
      <c r="Y25" s="57">
        <f t="shared" si="22"/>
        <v>-24</v>
      </c>
      <c r="Z25" s="60">
        <v>376</v>
      </c>
      <c r="AA25" s="56">
        <v>400</v>
      </c>
      <c r="AB25" s="57">
        <f t="shared" si="23"/>
        <v>-24</v>
      </c>
      <c r="AC25" s="60">
        <v>0</v>
      </c>
      <c r="AD25" s="62">
        <v>400</v>
      </c>
      <c r="AE25" s="57">
        <f t="shared" si="24"/>
        <v>-400</v>
      </c>
      <c r="AF25" s="60">
        <v>750</v>
      </c>
      <c r="AG25" s="62">
        <v>400</v>
      </c>
      <c r="AH25" s="57">
        <f t="shared" si="25"/>
        <v>350</v>
      </c>
      <c r="AI25" s="60">
        <v>330</v>
      </c>
      <c r="AJ25" s="63">
        <f t="shared" si="27"/>
        <v>-24.666666666666668</v>
      </c>
      <c r="AK25" s="62">
        <v>400</v>
      </c>
      <c r="AL25" s="179"/>
    </row>
    <row r="26" spans="1:38" ht="20.25" hidden="1" customHeight="1">
      <c r="A26" s="178" t="s">
        <v>76</v>
      </c>
      <c r="B26" s="100">
        <v>1352.19</v>
      </c>
      <c r="C26" s="101">
        <v>1300</v>
      </c>
      <c r="D26" s="102">
        <f t="shared" si="16"/>
        <v>52.190000000000055</v>
      </c>
      <c r="E26" s="100">
        <v>1378.31</v>
      </c>
      <c r="F26" s="101">
        <v>1500</v>
      </c>
      <c r="G26" s="102">
        <f t="shared" si="17"/>
        <v>-121.69000000000005</v>
      </c>
      <c r="H26" s="103">
        <v>1350.09</v>
      </c>
      <c r="I26" s="101">
        <v>1750</v>
      </c>
      <c r="J26" s="102">
        <f t="shared" si="18"/>
        <v>-399.91000000000008</v>
      </c>
      <c r="K26" s="55">
        <v>1305.3399999999999</v>
      </c>
      <c r="L26" s="56">
        <v>1750</v>
      </c>
      <c r="M26" s="57">
        <f t="shared" si="19"/>
        <v>-444.66000000000008</v>
      </c>
      <c r="N26" s="55">
        <v>1279.48</v>
      </c>
      <c r="O26" s="56">
        <v>1600</v>
      </c>
      <c r="P26" s="104">
        <f t="shared" si="20"/>
        <v>-320.52</v>
      </c>
      <c r="Q26" s="59">
        <v>1442.95</v>
      </c>
      <c r="R26" s="56">
        <v>1600</v>
      </c>
      <c r="S26" s="57">
        <f t="shared" si="21"/>
        <v>-157.04999999999995</v>
      </c>
      <c r="T26" s="60">
        <v>1647.18</v>
      </c>
      <c r="U26" s="56">
        <v>1500</v>
      </c>
      <c r="V26" s="57">
        <f t="shared" si="26"/>
        <v>147.18000000000006</v>
      </c>
      <c r="W26" s="61">
        <v>1731.9</v>
      </c>
      <c r="X26" s="56">
        <v>1700</v>
      </c>
      <c r="Y26" s="57">
        <f>W26-X26</f>
        <v>31.900000000000091</v>
      </c>
      <c r="Z26" s="60"/>
      <c r="AA26" s="56"/>
      <c r="AB26" s="57"/>
      <c r="AC26" s="60"/>
      <c r="AD26" s="62"/>
      <c r="AE26" s="57"/>
      <c r="AF26" s="60"/>
      <c r="AG26" s="62"/>
      <c r="AH26" s="57"/>
      <c r="AI26" s="60"/>
      <c r="AJ26" s="63">
        <f t="shared" si="27"/>
        <v>0</v>
      </c>
      <c r="AK26" s="62"/>
    </row>
    <row r="27" spans="1:38" ht="20.25" customHeight="1">
      <c r="A27" s="105" t="s">
        <v>61</v>
      </c>
      <c r="B27" s="106"/>
      <c r="C27" s="107"/>
      <c r="D27" s="108"/>
      <c r="E27" s="106"/>
      <c r="F27" s="107"/>
      <c r="G27" s="108"/>
      <c r="H27" s="109"/>
      <c r="I27" s="107"/>
      <c r="J27" s="108"/>
      <c r="K27" s="110"/>
      <c r="L27" s="111"/>
      <c r="M27" s="112"/>
      <c r="N27" s="110"/>
      <c r="O27" s="111"/>
      <c r="P27" s="113"/>
      <c r="Q27" s="114">
        <v>0</v>
      </c>
      <c r="R27" s="111">
        <v>0</v>
      </c>
      <c r="S27" s="57">
        <f t="shared" si="21"/>
        <v>0</v>
      </c>
      <c r="T27" s="115">
        <v>0</v>
      </c>
      <c r="U27" s="111">
        <v>0</v>
      </c>
      <c r="V27" s="112">
        <v>0</v>
      </c>
      <c r="W27" s="116">
        <v>901.61</v>
      </c>
      <c r="X27" s="111">
        <v>375.75</v>
      </c>
      <c r="Y27" s="57">
        <f>W27-X27</f>
        <v>525.86</v>
      </c>
      <c r="Z27" s="115">
        <v>887.19</v>
      </c>
      <c r="AA27" s="111">
        <v>700</v>
      </c>
      <c r="AB27" s="57">
        <f>Z27-AA27</f>
        <v>187.19000000000005</v>
      </c>
      <c r="AC27" s="115">
        <v>489.75</v>
      </c>
      <c r="AD27" s="117">
        <v>900</v>
      </c>
      <c r="AE27" s="57">
        <f>AC27-AD27</f>
        <v>-410.25</v>
      </c>
      <c r="AF27" s="60">
        <v>0</v>
      </c>
      <c r="AG27" s="117">
        <v>1000</v>
      </c>
      <c r="AH27" s="57">
        <f t="shared" si="25"/>
        <v>-1000</v>
      </c>
      <c r="AI27" s="60">
        <v>779.38</v>
      </c>
      <c r="AJ27" s="63">
        <f t="shared" si="27"/>
        <v>-407.68666666666667</v>
      </c>
      <c r="AK27" s="117">
        <v>1000</v>
      </c>
    </row>
    <row r="28" spans="1:38" ht="20.25" customHeight="1" thickBot="1">
      <c r="A28" s="65" t="s">
        <v>19</v>
      </c>
      <c r="B28" s="106">
        <v>0</v>
      </c>
      <c r="C28" s="107">
        <v>200</v>
      </c>
      <c r="D28" s="108">
        <f t="shared" si="16"/>
        <v>-200</v>
      </c>
      <c r="E28" s="106">
        <v>0</v>
      </c>
      <c r="F28" s="107">
        <v>200</v>
      </c>
      <c r="G28" s="108">
        <f t="shared" si="17"/>
        <v>-200</v>
      </c>
      <c r="H28" s="109">
        <v>0</v>
      </c>
      <c r="I28" s="107">
        <v>200</v>
      </c>
      <c r="J28" s="108">
        <f t="shared" si="18"/>
        <v>-200</v>
      </c>
      <c r="K28" s="110">
        <v>0</v>
      </c>
      <c r="L28" s="111">
        <v>200</v>
      </c>
      <c r="M28" s="112">
        <f t="shared" si="19"/>
        <v>-200</v>
      </c>
      <c r="N28" s="110">
        <v>0</v>
      </c>
      <c r="O28" s="111">
        <v>200</v>
      </c>
      <c r="P28" s="113">
        <f t="shared" si="20"/>
        <v>-200</v>
      </c>
      <c r="Q28" s="114">
        <v>0</v>
      </c>
      <c r="R28" s="111">
        <v>200</v>
      </c>
      <c r="S28" s="57">
        <f t="shared" si="21"/>
        <v>-200</v>
      </c>
      <c r="T28" s="76">
        <f>+(H28+E28+K28+B28)/4</f>
        <v>0</v>
      </c>
      <c r="U28" s="72">
        <v>200</v>
      </c>
      <c r="V28" s="73">
        <f t="shared" si="26"/>
        <v>-200</v>
      </c>
      <c r="W28" s="118">
        <f>+(K28+H28+N28+E28)/4</f>
        <v>0</v>
      </c>
      <c r="X28" s="111">
        <v>200</v>
      </c>
      <c r="Y28" s="73">
        <f>W28-X28</f>
        <v>-200</v>
      </c>
      <c r="Z28" s="76">
        <v>0</v>
      </c>
      <c r="AA28" s="111">
        <v>200</v>
      </c>
      <c r="AB28" s="73">
        <f>Z28-AA28</f>
        <v>-200</v>
      </c>
      <c r="AC28" s="76">
        <v>0</v>
      </c>
      <c r="AD28" s="117">
        <v>200</v>
      </c>
      <c r="AE28" s="73">
        <f>AC28-AD28</f>
        <v>-200</v>
      </c>
      <c r="AF28" s="60">
        <v>0</v>
      </c>
      <c r="AG28" s="117">
        <v>200</v>
      </c>
      <c r="AH28" s="57">
        <f t="shared" si="25"/>
        <v>-200</v>
      </c>
      <c r="AI28" s="60">
        <v>0</v>
      </c>
      <c r="AJ28" s="63">
        <f t="shared" si="27"/>
        <v>-200</v>
      </c>
      <c r="AK28" s="117">
        <v>200</v>
      </c>
    </row>
    <row r="29" spans="1:38" ht="20.25" customHeight="1" thickTop="1" thickBot="1">
      <c r="A29" s="119" t="s">
        <v>34</v>
      </c>
      <c r="B29" s="120">
        <f>SUM(B16:B28)</f>
        <v>3152.34</v>
      </c>
      <c r="C29" s="121">
        <f>SUM(C16:C28)</f>
        <v>6500</v>
      </c>
      <c r="D29" s="122">
        <f t="shared" si="16"/>
        <v>-3347.66</v>
      </c>
      <c r="E29" s="120">
        <f>SUM(E16:E28)</f>
        <v>4035.11</v>
      </c>
      <c r="F29" s="121">
        <f>SUM(F16:F28)</f>
        <v>6200</v>
      </c>
      <c r="G29" s="122">
        <f t="shared" si="17"/>
        <v>-2164.89</v>
      </c>
      <c r="H29" s="123">
        <f>SUM(H16:H28)</f>
        <v>4043.25</v>
      </c>
      <c r="I29" s="121">
        <f>SUM(I16:I28)</f>
        <v>6500</v>
      </c>
      <c r="J29" s="122">
        <f t="shared" si="18"/>
        <v>-2456.75</v>
      </c>
      <c r="K29" s="124">
        <f t="shared" ref="K29:Q29" si="28">SUM(K16:K28)</f>
        <v>4355.49</v>
      </c>
      <c r="L29" s="125">
        <f t="shared" si="28"/>
        <v>6500</v>
      </c>
      <c r="M29" s="126">
        <f t="shared" si="28"/>
        <v>-2144.5100000000002</v>
      </c>
      <c r="N29" s="124">
        <f t="shared" si="28"/>
        <v>4601.09</v>
      </c>
      <c r="O29" s="125">
        <f t="shared" si="28"/>
        <v>5350</v>
      </c>
      <c r="P29" s="127">
        <f t="shared" si="28"/>
        <v>-748.91000000000008</v>
      </c>
      <c r="Q29" s="128">
        <f t="shared" si="28"/>
        <v>3870.4300000000003</v>
      </c>
      <c r="R29" s="125">
        <v>4950</v>
      </c>
      <c r="S29" s="126">
        <f t="shared" ref="S29:V29" si="29">SUM(S16:S28)</f>
        <v>-1079.57</v>
      </c>
      <c r="T29" s="129">
        <f t="shared" si="29"/>
        <v>3305.46</v>
      </c>
      <c r="U29" s="125">
        <f t="shared" si="29"/>
        <v>4900</v>
      </c>
      <c r="V29" s="126">
        <f t="shared" si="29"/>
        <v>-1594.5400000000002</v>
      </c>
      <c r="W29" s="130">
        <f>SUM(W16:W28)</f>
        <v>4559.1400000000003</v>
      </c>
      <c r="X29" s="125">
        <f>SUM(X16:X28)</f>
        <v>5475.75</v>
      </c>
      <c r="Y29" s="126">
        <f>SUM(Y16:Y28)</f>
        <v>-916.60999999999979</v>
      </c>
      <c r="Z29" s="129">
        <f>SUM(Z16:Z28)</f>
        <v>5113.380000000001</v>
      </c>
      <c r="AA29" s="125">
        <f t="shared" ref="AA29" si="30">SUM(AA16:AA28)</f>
        <v>5700</v>
      </c>
      <c r="AB29" s="126">
        <f>SUM(AB16:AB28)</f>
        <v>-586.61999999999966</v>
      </c>
      <c r="AC29" s="129">
        <f>SUM(AC16:AC28)</f>
        <v>4638</v>
      </c>
      <c r="AD29" s="125">
        <f t="shared" ref="AD29" si="31">SUM(AD16:AD28)</f>
        <v>6300</v>
      </c>
      <c r="AE29" s="126">
        <f>SUM(AE16:AE28)</f>
        <v>-1662.0000000000002</v>
      </c>
      <c r="AF29" s="129">
        <f t="shared" ref="AF29:AH29" si="32">SUM(AF16:AF28)</f>
        <v>15602.75</v>
      </c>
      <c r="AG29" s="131">
        <f t="shared" si="32"/>
        <v>6600</v>
      </c>
      <c r="AH29" s="132">
        <f t="shared" si="32"/>
        <v>9002.75</v>
      </c>
      <c r="AI29" s="129">
        <f>SUM(AI16:AI28)</f>
        <v>6941.84</v>
      </c>
      <c r="AJ29" s="131">
        <f t="shared" ref="AJ29:AK29" si="33">SUM(AJ16:AJ28)</f>
        <v>2251.376666666667</v>
      </c>
      <c r="AK29" s="132">
        <f t="shared" si="33"/>
        <v>8600</v>
      </c>
    </row>
    <row r="30" spans="1:38" ht="20.25" customHeight="1" thickBot="1">
      <c r="A30" s="182" t="s">
        <v>21</v>
      </c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4"/>
    </row>
    <row r="31" spans="1:38" ht="20.25" customHeight="1">
      <c r="A31" s="133" t="s">
        <v>22</v>
      </c>
      <c r="B31" s="95">
        <v>1385.28</v>
      </c>
      <c r="C31" s="96">
        <v>1500</v>
      </c>
      <c r="D31" s="97">
        <f t="shared" ref="D31:D36" si="34">+B31-C31</f>
        <v>-114.72000000000003</v>
      </c>
      <c r="E31" s="95">
        <v>1269.8399999999999</v>
      </c>
      <c r="F31" s="96">
        <v>1500</v>
      </c>
      <c r="G31" s="97">
        <f t="shared" ref="G31:G36" si="35">+E31-F31</f>
        <v>-230.16000000000008</v>
      </c>
      <c r="H31" s="98">
        <v>1500.72</v>
      </c>
      <c r="I31" s="96">
        <v>1500</v>
      </c>
      <c r="J31" s="97">
        <f t="shared" ref="J31:J36" si="36">+H31-I31</f>
        <v>0.72000000000002728</v>
      </c>
      <c r="K31" s="40">
        <v>1536.71</v>
      </c>
      <c r="L31" s="41">
        <v>1664</v>
      </c>
      <c r="M31" s="42">
        <f t="shared" ref="M31:M35" si="37">+K31-L31</f>
        <v>-127.28999999999996</v>
      </c>
      <c r="N31" s="40">
        <v>1665</v>
      </c>
      <c r="O31" s="41">
        <v>1664</v>
      </c>
      <c r="P31" s="99">
        <f t="shared" ref="P31:P35" si="38">+N31-O31</f>
        <v>1</v>
      </c>
      <c r="Q31" s="44">
        <v>1665</v>
      </c>
      <c r="R31" s="41">
        <v>1664</v>
      </c>
      <c r="S31" s="42">
        <f t="shared" ref="S31:S35" si="39">Q31-R31</f>
        <v>1</v>
      </c>
      <c r="T31" s="45">
        <v>1699.96</v>
      </c>
      <c r="U31" s="48">
        <v>1700</v>
      </c>
      <c r="V31" s="134">
        <f>T31-U31</f>
        <v>-3.999999999996362E-2</v>
      </c>
      <c r="W31" s="46">
        <v>1700</v>
      </c>
      <c r="X31" s="48">
        <v>1700</v>
      </c>
      <c r="Y31" s="134">
        <f t="shared" ref="Y31:Y35" si="40">W31-X31</f>
        <v>0</v>
      </c>
      <c r="Z31" s="45">
        <v>1700</v>
      </c>
      <c r="AA31" s="48">
        <v>1700</v>
      </c>
      <c r="AB31" s="134">
        <f t="shared" ref="AB31:AB35" si="41">Z31-AA31</f>
        <v>0</v>
      </c>
      <c r="AC31" s="45">
        <v>1700</v>
      </c>
      <c r="AD31" s="135">
        <v>1700</v>
      </c>
      <c r="AE31" s="134">
        <f t="shared" ref="AE31:AE35" si="42">AC31-AD31</f>
        <v>0</v>
      </c>
      <c r="AF31" s="45">
        <v>1570.04</v>
      </c>
      <c r="AG31" s="135">
        <v>1700</v>
      </c>
      <c r="AH31" s="42">
        <f t="shared" ref="AH31:AH35" si="43">AF31-AG31</f>
        <v>-129.96000000000004</v>
      </c>
      <c r="AI31" s="45">
        <v>1534.99</v>
      </c>
      <c r="AJ31" s="48">
        <f>+(AB31+AE31+AH31)/3</f>
        <v>-43.320000000000014</v>
      </c>
      <c r="AK31" s="135">
        <v>1700</v>
      </c>
    </row>
    <row r="32" spans="1:38" ht="20.25" customHeight="1">
      <c r="A32" s="136" t="s">
        <v>23</v>
      </c>
      <c r="B32" s="100">
        <v>0</v>
      </c>
      <c r="C32" s="101">
        <v>500</v>
      </c>
      <c r="D32" s="102">
        <f t="shared" si="34"/>
        <v>-500</v>
      </c>
      <c r="E32" s="100">
        <v>0</v>
      </c>
      <c r="F32" s="101">
        <v>500</v>
      </c>
      <c r="G32" s="102">
        <f t="shared" si="35"/>
        <v>-500</v>
      </c>
      <c r="H32" s="103">
        <v>0</v>
      </c>
      <c r="I32" s="101">
        <v>500</v>
      </c>
      <c r="J32" s="102">
        <f t="shared" si="36"/>
        <v>-500</v>
      </c>
      <c r="K32" s="55">
        <v>0</v>
      </c>
      <c r="L32" s="56">
        <v>500</v>
      </c>
      <c r="M32" s="57">
        <f t="shared" si="37"/>
        <v>-500</v>
      </c>
      <c r="N32" s="55">
        <v>0</v>
      </c>
      <c r="O32" s="56">
        <v>500</v>
      </c>
      <c r="P32" s="104">
        <f t="shared" si="38"/>
        <v>-500</v>
      </c>
      <c r="Q32" s="59">
        <v>0</v>
      </c>
      <c r="R32" s="56">
        <v>500</v>
      </c>
      <c r="S32" s="57">
        <f t="shared" si="39"/>
        <v>-500</v>
      </c>
      <c r="T32" s="60">
        <f>+(H32+E32+K32+B32)/4</f>
        <v>0</v>
      </c>
      <c r="U32" s="63">
        <v>500</v>
      </c>
      <c r="V32" s="137">
        <f t="shared" ref="V32:V35" si="44">T32-U32</f>
        <v>-500</v>
      </c>
      <c r="W32" s="61">
        <v>0</v>
      </c>
      <c r="X32" s="63">
        <v>500</v>
      </c>
      <c r="Y32" s="137">
        <f t="shared" si="40"/>
        <v>-500</v>
      </c>
      <c r="Z32" s="60">
        <v>0</v>
      </c>
      <c r="AA32" s="63">
        <v>500</v>
      </c>
      <c r="AB32" s="137">
        <f t="shared" si="41"/>
        <v>-500</v>
      </c>
      <c r="AC32" s="60">
        <v>0</v>
      </c>
      <c r="AD32" s="138">
        <v>500</v>
      </c>
      <c r="AE32" s="137">
        <f t="shared" si="42"/>
        <v>-500</v>
      </c>
      <c r="AF32" s="60">
        <v>556.05999999999995</v>
      </c>
      <c r="AG32" s="138">
        <v>1700</v>
      </c>
      <c r="AH32" s="57">
        <f t="shared" si="43"/>
        <v>-1143.94</v>
      </c>
      <c r="AI32" s="60">
        <v>1569.97</v>
      </c>
      <c r="AJ32" s="63">
        <f t="shared" ref="AJ32:AJ35" si="45">+(AB32+AE32+AH32)/3</f>
        <v>-714.64666666666665</v>
      </c>
      <c r="AK32" s="138">
        <v>1700</v>
      </c>
    </row>
    <row r="33" spans="1:37" ht="20.25" customHeight="1">
      <c r="A33" s="136" t="s">
        <v>24</v>
      </c>
      <c r="B33" s="100">
        <v>0</v>
      </c>
      <c r="C33" s="101">
        <v>200</v>
      </c>
      <c r="D33" s="102">
        <f t="shared" si="34"/>
        <v>-200</v>
      </c>
      <c r="E33" s="100">
        <v>0</v>
      </c>
      <c r="F33" s="101">
        <v>200</v>
      </c>
      <c r="G33" s="102">
        <f t="shared" si="35"/>
        <v>-200</v>
      </c>
      <c r="H33" s="103">
        <v>0</v>
      </c>
      <c r="I33" s="101">
        <v>200</v>
      </c>
      <c r="J33" s="102">
        <f t="shared" si="36"/>
        <v>-200</v>
      </c>
      <c r="K33" s="55">
        <v>0</v>
      </c>
      <c r="L33" s="56">
        <v>200</v>
      </c>
      <c r="M33" s="57">
        <f t="shared" si="37"/>
        <v>-200</v>
      </c>
      <c r="N33" s="55">
        <v>0</v>
      </c>
      <c r="O33" s="56">
        <v>200</v>
      </c>
      <c r="P33" s="104">
        <f t="shared" si="38"/>
        <v>-200</v>
      </c>
      <c r="Q33" s="59">
        <v>0</v>
      </c>
      <c r="R33" s="56">
        <v>200</v>
      </c>
      <c r="S33" s="57">
        <f t="shared" si="39"/>
        <v>-200</v>
      </c>
      <c r="T33" s="60">
        <f>+(H33+E33+K33+B33)/4</f>
        <v>0</v>
      </c>
      <c r="U33" s="63">
        <v>200</v>
      </c>
      <c r="V33" s="137">
        <f t="shared" si="44"/>
        <v>-200</v>
      </c>
      <c r="W33" s="61">
        <v>0</v>
      </c>
      <c r="X33" s="63">
        <v>200</v>
      </c>
      <c r="Y33" s="137">
        <f t="shared" si="40"/>
        <v>-200</v>
      </c>
      <c r="Z33" s="60">
        <v>0</v>
      </c>
      <c r="AA33" s="63">
        <v>200</v>
      </c>
      <c r="AB33" s="137">
        <f t="shared" si="41"/>
        <v>-200</v>
      </c>
      <c r="AC33" s="60">
        <v>0</v>
      </c>
      <c r="AD33" s="138">
        <v>200</v>
      </c>
      <c r="AE33" s="137">
        <f t="shared" si="42"/>
        <v>-200</v>
      </c>
      <c r="AF33" s="60">
        <v>0</v>
      </c>
      <c r="AG33" s="138">
        <v>200</v>
      </c>
      <c r="AH33" s="57">
        <f t="shared" si="43"/>
        <v>-200</v>
      </c>
      <c r="AI33" s="60">
        <v>0</v>
      </c>
      <c r="AJ33" s="63">
        <f t="shared" si="45"/>
        <v>-200</v>
      </c>
      <c r="AK33" s="138">
        <v>200</v>
      </c>
    </row>
    <row r="34" spans="1:37" ht="20.25" customHeight="1">
      <c r="A34" s="136" t="s">
        <v>30</v>
      </c>
      <c r="B34" s="100">
        <v>0</v>
      </c>
      <c r="C34" s="101">
        <v>400</v>
      </c>
      <c r="D34" s="102">
        <f t="shared" si="34"/>
        <v>-400</v>
      </c>
      <c r="E34" s="100">
        <v>0</v>
      </c>
      <c r="F34" s="101">
        <v>400</v>
      </c>
      <c r="G34" s="102">
        <f t="shared" si="35"/>
        <v>-400</v>
      </c>
      <c r="H34" s="103">
        <v>0</v>
      </c>
      <c r="I34" s="101">
        <v>400</v>
      </c>
      <c r="J34" s="102">
        <f t="shared" si="36"/>
        <v>-400</v>
      </c>
      <c r="K34" s="55">
        <v>0</v>
      </c>
      <c r="L34" s="56">
        <v>400</v>
      </c>
      <c r="M34" s="57">
        <f t="shared" si="37"/>
        <v>-400</v>
      </c>
      <c r="N34" s="55">
        <v>0</v>
      </c>
      <c r="O34" s="56">
        <v>400</v>
      </c>
      <c r="P34" s="104">
        <f t="shared" si="38"/>
        <v>-400</v>
      </c>
      <c r="Q34" s="59">
        <v>0</v>
      </c>
      <c r="R34" s="56">
        <v>400</v>
      </c>
      <c r="S34" s="57">
        <f t="shared" si="39"/>
        <v>-400</v>
      </c>
      <c r="T34" s="60">
        <f>+(H34+E34+K34+B34)/4</f>
        <v>0</v>
      </c>
      <c r="U34" s="63">
        <v>400</v>
      </c>
      <c r="V34" s="137">
        <f t="shared" si="44"/>
        <v>-400</v>
      </c>
      <c r="W34" s="61">
        <v>0</v>
      </c>
      <c r="X34" s="63">
        <v>400</v>
      </c>
      <c r="Y34" s="137">
        <f t="shared" si="40"/>
        <v>-400</v>
      </c>
      <c r="Z34" s="60">
        <v>0</v>
      </c>
      <c r="AA34" s="63">
        <v>400</v>
      </c>
      <c r="AB34" s="137">
        <f t="shared" si="41"/>
        <v>-400</v>
      </c>
      <c r="AC34" s="60">
        <v>0</v>
      </c>
      <c r="AD34" s="138">
        <v>400</v>
      </c>
      <c r="AE34" s="137">
        <f t="shared" si="42"/>
        <v>-400</v>
      </c>
      <c r="AF34" s="60">
        <v>0</v>
      </c>
      <c r="AG34" s="138">
        <v>400</v>
      </c>
      <c r="AH34" s="57">
        <f t="shared" si="43"/>
        <v>-400</v>
      </c>
      <c r="AI34" s="60">
        <v>0</v>
      </c>
      <c r="AJ34" s="63">
        <f t="shared" si="45"/>
        <v>-400</v>
      </c>
      <c r="AK34" s="138">
        <v>400</v>
      </c>
    </row>
    <row r="35" spans="1:37" ht="20.25" customHeight="1" thickBot="1">
      <c r="A35" s="139" t="s">
        <v>31</v>
      </c>
      <c r="B35" s="140">
        <f>731.71+197.85</f>
        <v>929.56000000000006</v>
      </c>
      <c r="C35" s="141">
        <v>800</v>
      </c>
      <c r="D35" s="142">
        <f t="shared" si="34"/>
        <v>129.56000000000006</v>
      </c>
      <c r="E35" s="140">
        <v>781.83</v>
      </c>
      <c r="F35" s="141">
        <v>800</v>
      </c>
      <c r="G35" s="142">
        <f t="shared" si="35"/>
        <v>-18.169999999999959</v>
      </c>
      <c r="H35" s="143">
        <v>788.71</v>
      </c>
      <c r="I35" s="141">
        <v>800</v>
      </c>
      <c r="J35" s="142">
        <f t="shared" si="36"/>
        <v>-11.289999999999964</v>
      </c>
      <c r="K35" s="144">
        <v>679.63</v>
      </c>
      <c r="L35" s="72">
        <v>800</v>
      </c>
      <c r="M35" s="73">
        <f t="shared" si="37"/>
        <v>-120.37</v>
      </c>
      <c r="N35" s="144">
        <v>725.02</v>
      </c>
      <c r="O35" s="72">
        <v>850</v>
      </c>
      <c r="P35" s="145">
        <f t="shared" si="38"/>
        <v>-124.98000000000002</v>
      </c>
      <c r="Q35" s="71">
        <v>807.08</v>
      </c>
      <c r="R35" s="72">
        <v>850</v>
      </c>
      <c r="S35" s="73">
        <f t="shared" si="39"/>
        <v>-42.919999999999959</v>
      </c>
      <c r="T35" s="76">
        <v>821.61</v>
      </c>
      <c r="U35" s="80">
        <v>850</v>
      </c>
      <c r="V35" s="146">
        <f t="shared" si="44"/>
        <v>-28.389999999999986</v>
      </c>
      <c r="W35" s="76">
        <v>818.55</v>
      </c>
      <c r="X35" s="80">
        <v>850</v>
      </c>
      <c r="Y35" s="146">
        <f t="shared" si="40"/>
        <v>-31.450000000000045</v>
      </c>
      <c r="Z35" s="76">
        <v>862.16</v>
      </c>
      <c r="AA35" s="80">
        <v>850</v>
      </c>
      <c r="AB35" s="146">
        <f t="shared" si="41"/>
        <v>12.159999999999968</v>
      </c>
      <c r="AC35" s="76">
        <v>862.16</v>
      </c>
      <c r="AD35" s="147">
        <v>900</v>
      </c>
      <c r="AE35" s="146">
        <f t="shared" si="42"/>
        <v>-37.840000000000032</v>
      </c>
      <c r="AF35" s="76">
        <v>870.57</v>
      </c>
      <c r="AG35" s="147">
        <v>1200</v>
      </c>
      <c r="AH35" s="73">
        <f t="shared" si="43"/>
        <v>-329.42999999999995</v>
      </c>
      <c r="AI35" s="76">
        <v>351.98</v>
      </c>
      <c r="AJ35" s="80">
        <f t="shared" si="45"/>
        <v>-118.37</v>
      </c>
      <c r="AK35" s="147">
        <v>400</v>
      </c>
    </row>
    <row r="36" spans="1:37" ht="20.25" customHeight="1" thickTop="1" thickBot="1">
      <c r="A36" s="148" t="s">
        <v>36</v>
      </c>
      <c r="B36" s="85">
        <f>SUM(B31:B35)</f>
        <v>2314.84</v>
      </c>
      <c r="C36" s="83">
        <f>SUM(C31:C35)</f>
        <v>3400</v>
      </c>
      <c r="D36" s="84">
        <f t="shared" si="34"/>
        <v>-1085.1599999999999</v>
      </c>
      <c r="E36" s="85">
        <f>SUM(E31:E35)</f>
        <v>2051.67</v>
      </c>
      <c r="F36" s="83">
        <f>SUM(F31:F35)</f>
        <v>3400</v>
      </c>
      <c r="G36" s="84">
        <f t="shared" si="35"/>
        <v>-1348.33</v>
      </c>
      <c r="H36" s="86">
        <f>SUM(H31:H35)</f>
        <v>2289.4300000000003</v>
      </c>
      <c r="I36" s="83">
        <f>SUM(I31:I35)</f>
        <v>3400</v>
      </c>
      <c r="J36" s="84">
        <f t="shared" si="36"/>
        <v>-1110.5699999999997</v>
      </c>
      <c r="K36" s="149">
        <f t="shared" ref="K36:Q36" si="46">SUM(K31:K35)</f>
        <v>2216.34</v>
      </c>
      <c r="L36" s="88">
        <f t="shared" si="46"/>
        <v>3564</v>
      </c>
      <c r="M36" s="89">
        <f t="shared" si="46"/>
        <v>-1347.6599999999999</v>
      </c>
      <c r="N36" s="149">
        <f t="shared" si="46"/>
        <v>2390.02</v>
      </c>
      <c r="O36" s="88">
        <f t="shared" si="46"/>
        <v>3614</v>
      </c>
      <c r="P36" s="150">
        <f t="shared" si="46"/>
        <v>-1223.98</v>
      </c>
      <c r="Q36" s="87">
        <f t="shared" si="46"/>
        <v>2472.08</v>
      </c>
      <c r="R36" s="88">
        <v>7214</v>
      </c>
      <c r="S36" s="89">
        <f t="shared" ref="S36:V36" si="47">SUM(S31:S35)</f>
        <v>-1141.92</v>
      </c>
      <c r="T36" s="91">
        <f t="shared" si="47"/>
        <v>2521.5700000000002</v>
      </c>
      <c r="U36" s="88">
        <f t="shared" si="47"/>
        <v>3650</v>
      </c>
      <c r="V36" s="89">
        <f t="shared" si="47"/>
        <v>-1128.4299999999998</v>
      </c>
      <c r="W36" s="151">
        <f>SUM(W31:W35)</f>
        <v>2518.5500000000002</v>
      </c>
      <c r="X36" s="88">
        <f>SUM(X31:X35)</f>
        <v>3650</v>
      </c>
      <c r="Y36" s="89">
        <f>SUM(Y31:Y35)</f>
        <v>-1131.45</v>
      </c>
      <c r="Z36" s="87">
        <f>SUM(Z31:Z35)</f>
        <v>2562.16</v>
      </c>
      <c r="AA36" s="88">
        <f t="shared" ref="AA36" si="48">SUM(AA31:AA35)</f>
        <v>3650</v>
      </c>
      <c r="AB36" s="89">
        <f>SUM(AB31:AB35)</f>
        <v>-1087.8400000000001</v>
      </c>
      <c r="AC36" s="87">
        <f>SUM(AC31:AC35)</f>
        <v>2562.16</v>
      </c>
      <c r="AD36" s="88">
        <f t="shared" ref="AD36" si="49">SUM(AD31:AD35)</f>
        <v>3700</v>
      </c>
      <c r="AE36" s="89">
        <f>SUM(AE31:AE35)</f>
        <v>-1137.8400000000001</v>
      </c>
      <c r="AF36" s="91">
        <f t="shared" ref="AF36:AH36" si="50">SUM(AF31:AF35)</f>
        <v>2996.67</v>
      </c>
      <c r="AG36" s="152">
        <f t="shared" si="50"/>
        <v>5200</v>
      </c>
      <c r="AH36" s="94">
        <f t="shared" si="50"/>
        <v>-2203.33</v>
      </c>
      <c r="AI36" s="91">
        <f t="shared" ref="AI36:AK36" si="51">SUM(AI31:AI35)</f>
        <v>3456.94</v>
      </c>
      <c r="AJ36" s="152">
        <f t="shared" si="51"/>
        <v>-1476.3366666666666</v>
      </c>
      <c r="AK36" s="94">
        <f t="shared" si="51"/>
        <v>4400</v>
      </c>
    </row>
    <row r="37" spans="1:37" ht="20.25" customHeight="1" thickBot="1">
      <c r="A37" s="182" t="s">
        <v>8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4"/>
    </row>
    <row r="38" spans="1:37" ht="20.25" customHeight="1">
      <c r="A38" s="133" t="s">
        <v>9</v>
      </c>
      <c r="B38" s="35">
        <v>36934</v>
      </c>
      <c r="C38" s="36">
        <v>36934</v>
      </c>
      <c r="D38" s="37">
        <f t="shared" ref="D38:D48" si="52">+B38-C38</f>
        <v>0</v>
      </c>
      <c r="E38" s="38">
        <v>37801.5</v>
      </c>
      <c r="F38" s="36">
        <v>37975</v>
      </c>
      <c r="G38" s="37">
        <f t="shared" ref="G38:G47" si="53">+E38-F38</f>
        <v>-173.5</v>
      </c>
      <c r="H38" s="39">
        <v>38579.5</v>
      </c>
      <c r="I38" s="36">
        <v>39015.49</v>
      </c>
      <c r="J38" s="37">
        <f t="shared" ref="J38:J48" si="54">+H38-I38</f>
        <v>-435.98999999999796</v>
      </c>
      <c r="K38" s="40">
        <f>30656.64+3048.82+0</f>
        <v>33705.46</v>
      </c>
      <c r="L38" s="41">
        <v>40056</v>
      </c>
      <c r="M38" s="42">
        <f t="shared" ref="M38:M47" si="55">+K38-L38</f>
        <v>-6350.5400000000009</v>
      </c>
      <c r="N38" s="40">
        <v>40964.25</v>
      </c>
      <c r="O38" s="41">
        <v>41097</v>
      </c>
      <c r="P38" s="99">
        <f t="shared" ref="P38:P47" si="56">+N38-O38</f>
        <v>-132.75</v>
      </c>
      <c r="Q38" s="44">
        <v>42005.09</v>
      </c>
      <c r="R38" s="41">
        <v>42139</v>
      </c>
      <c r="S38" s="42">
        <f t="shared" ref="S38:S47" si="57">Q38-R38</f>
        <v>-133.91000000000349</v>
      </c>
      <c r="T38" s="45">
        <v>44474</v>
      </c>
      <c r="U38" s="48">
        <v>45125</v>
      </c>
      <c r="V38" s="134">
        <f>T38-U38</f>
        <v>-651</v>
      </c>
      <c r="W38" s="46">
        <v>44845.08</v>
      </c>
      <c r="X38" s="48">
        <v>45515</v>
      </c>
      <c r="Y38" s="134">
        <f t="shared" ref="Y38:Y47" si="58">W38-X38</f>
        <v>-669.91999999999825</v>
      </c>
      <c r="Z38" s="45">
        <v>46213.62</v>
      </c>
      <c r="AA38" s="48">
        <v>46555</v>
      </c>
      <c r="AB38" s="134">
        <f t="shared" ref="AB38:AB47" si="59">Z38-AA38</f>
        <v>-341.37999999999738</v>
      </c>
      <c r="AC38" s="45">
        <v>45972.46</v>
      </c>
      <c r="AD38" s="135">
        <v>47600</v>
      </c>
      <c r="AE38" s="134">
        <f t="shared" ref="AE38:AE47" si="60">AC38-AD38</f>
        <v>-1627.5400000000009</v>
      </c>
      <c r="AF38" s="45">
        <f>6284.62+14000</f>
        <v>20284.62</v>
      </c>
      <c r="AG38" s="135">
        <v>35000</v>
      </c>
      <c r="AH38" s="42">
        <f t="shared" ref="AH38:AH47" si="61">AF38-AG38</f>
        <v>-14715.380000000001</v>
      </c>
      <c r="AI38" s="45">
        <f>44890.28-8573.07-625.71-408.5-1083</f>
        <v>34200</v>
      </c>
      <c r="AJ38" s="48">
        <f>+(AB38+AE38+AH38)/3</f>
        <v>-5561.4333333333334</v>
      </c>
      <c r="AK38" s="135">
        <v>43000</v>
      </c>
    </row>
    <row r="39" spans="1:37" ht="20.25" customHeight="1">
      <c r="A39" s="136" t="s">
        <v>55</v>
      </c>
      <c r="B39" s="50">
        <f>6507+323.1</f>
        <v>6830.1</v>
      </c>
      <c r="C39" s="51">
        <v>6507</v>
      </c>
      <c r="D39" s="52">
        <f t="shared" si="52"/>
        <v>323.10000000000036</v>
      </c>
      <c r="E39" s="53">
        <v>7575.88</v>
      </c>
      <c r="F39" s="51">
        <v>6891</v>
      </c>
      <c r="G39" s="52">
        <f t="shared" si="53"/>
        <v>684.88000000000011</v>
      </c>
      <c r="H39" s="54">
        <v>7719</v>
      </c>
      <c r="I39" s="51">
        <f>1929.75*4</f>
        <v>7719</v>
      </c>
      <c r="J39" s="52">
        <f t="shared" si="54"/>
        <v>0</v>
      </c>
      <c r="K39" s="55">
        <v>14593.61</v>
      </c>
      <c r="L39" s="56">
        <v>7896</v>
      </c>
      <c r="M39" s="57">
        <f t="shared" si="55"/>
        <v>6697.6100000000006</v>
      </c>
      <c r="N39" s="55">
        <v>7896</v>
      </c>
      <c r="O39" s="56">
        <v>7900</v>
      </c>
      <c r="P39" s="104">
        <f t="shared" si="56"/>
        <v>-4</v>
      </c>
      <c r="Q39" s="59">
        <v>7974.75</v>
      </c>
      <c r="R39" s="56">
        <v>7900</v>
      </c>
      <c r="S39" s="57">
        <f t="shared" si="57"/>
        <v>74.75</v>
      </c>
      <c r="T39" s="60">
        <v>8622</v>
      </c>
      <c r="U39" s="63">
        <v>8211</v>
      </c>
      <c r="V39" s="137">
        <f t="shared" ref="V39:V47" si="62">T39-U39</f>
        <v>411</v>
      </c>
      <c r="W39" s="61">
        <v>8816.25</v>
      </c>
      <c r="X39" s="63">
        <v>8622</v>
      </c>
      <c r="Y39" s="137">
        <f t="shared" si="58"/>
        <v>194.25</v>
      </c>
      <c r="Z39" s="60">
        <v>9563.25</v>
      </c>
      <c r="AA39" s="63">
        <v>9400</v>
      </c>
      <c r="AB39" s="137">
        <f t="shared" si="59"/>
        <v>163.25</v>
      </c>
      <c r="AC39" s="60">
        <v>11176.64</v>
      </c>
      <c r="AD39" s="138">
        <v>10100</v>
      </c>
      <c r="AE39" s="137">
        <f t="shared" si="60"/>
        <v>1076.6399999999994</v>
      </c>
      <c r="AF39" s="60">
        <v>631.75</v>
      </c>
      <c r="AG39" s="138">
        <v>10100</v>
      </c>
      <c r="AH39" s="57">
        <f t="shared" si="61"/>
        <v>-9468.25</v>
      </c>
      <c r="AI39" s="60">
        <v>1083</v>
      </c>
      <c r="AJ39" s="63">
        <f t="shared" ref="AJ39:AJ47" si="63">+(AB39+AE39+AH39)/3</f>
        <v>-2742.7866666666669</v>
      </c>
      <c r="AK39" s="138">
        <v>20000</v>
      </c>
    </row>
    <row r="40" spans="1:37" ht="20.25" customHeight="1">
      <c r="A40" s="136" t="s">
        <v>13</v>
      </c>
      <c r="B40" s="50">
        <v>0</v>
      </c>
      <c r="C40" s="51">
        <v>200</v>
      </c>
      <c r="D40" s="52">
        <f t="shared" si="52"/>
        <v>-200</v>
      </c>
      <c r="E40" s="153">
        <v>0</v>
      </c>
      <c r="F40" s="51">
        <v>200</v>
      </c>
      <c r="G40" s="52">
        <f t="shared" si="53"/>
        <v>-200</v>
      </c>
      <c r="H40" s="54">
        <v>109.33</v>
      </c>
      <c r="I40" s="51">
        <v>200</v>
      </c>
      <c r="J40" s="52">
        <f t="shared" si="54"/>
        <v>-90.67</v>
      </c>
      <c r="K40" s="55">
        <v>104.69</v>
      </c>
      <c r="L40" s="56">
        <v>200</v>
      </c>
      <c r="M40" s="57">
        <f t="shared" si="55"/>
        <v>-95.31</v>
      </c>
      <c r="N40" s="55">
        <v>112.79</v>
      </c>
      <c r="O40" s="56">
        <v>200</v>
      </c>
      <c r="P40" s="104">
        <f t="shared" si="56"/>
        <v>-87.21</v>
      </c>
      <c r="Q40" s="59">
        <v>222.65</v>
      </c>
      <c r="R40" s="56">
        <v>300</v>
      </c>
      <c r="S40" s="57">
        <f t="shared" si="57"/>
        <v>-77.349999999999994</v>
      </c>
      <c r="T40" s="60">
        <v>0</v>
      </c>
      <c r="U40" s="63">
        <v>300</v>
      </c>
      <c r="V40" s="137">
        <f t="shared" si="62"/>
        <v>-300</v>
      </c>
      <c r="W40" s="61">
        <v>112.14</v>
      </c>
      <c r="X40" s="63">
        <v>300</v>
      </c>
      <c r="Y40" s="137">
        <f t="shared" si="58"/>
        <v>-187.86</v>
      </c>
      <c r="Z40" s="60">
        <v>0</v>
      </c>
      <c r="AA40" s="63">
        <v>300</v>
      </c>
      <c r="AB40" s="137">
        <f t="shared" si="59"/>
        <v>-300</v>
      </c>
      <c r="AC40" s="60">
        <v>0</v>
      </c>
      <c r="AD40" s="138">
        <v>300</v>
      </c>
      <c r="AE40" s="137">
        <f t="shared" si="60"/>
        <v>-300</v>
      </c>
      <c r="AF40" s="60">
        <v>161.62</v>
      </c>
      <c r="AG40" s="138">
        <v>400</v>
      </c>
      <c r="AH40" s="57">
        <f t="shared" si="61"/>
        <v>-238.38</v>
      </c>
      <c r="AI40" s="60">
        <v>408.5</v>
      </c>
      <c r="AJ40" s="63">
        <f t="shared" si="63"/>
        <v>-279.45999999999998</v>
      </c>
      <c r="AK40" s="138">
        <v>400</v>
      </c>
    </row>
    <row r="41" spans="1:37" ht="20.25" customHeight="1">
      <c r="A41" s="136" t="s">
        <v>11</v>
      </c>
      <c r="B41" s="50">
        <v>0</v>
      </c>
      <c r="C41" s="51">
        <v>300</v>
      </c>
      <c r="D41" s="52">
        <f t="shared" si="52"/>
        <v>-300</v>
      </c>
      <c r="E41" s="153">
        <v>0</v>
      </c>
      <c r="F41" s="51">
        <v>300</v>
      </c>
      <c r="G41" s="52">
        <f t="shared" si="53"/>
        <v>-300</v>
      </c>
      <c r="H41" s="54">
        <v>0</v>
      </c>
      <c r="I41" s="51">
        <v>300</v>
      </c>
      <c r="J41" s="52">
        <f t="shared" si="54"/>
        <v>-300</v>
      </c>
      <c r="K41" s="55">
        <v>0</v>
      </c>
      <c r="L41" s="56">
        <v>300</v>
      </c>
      <c r="M41" s="57">
        <f t="shared" si="55"/>
        <v>-300</v>
      </c>
      <c r="N41" s="55">
        <v>0</v>
      </c>
      <c r="O41" s="56">
        <v>300</v>
      </c>
      <c r="P41" s="104">
        <f t="shared" si="56"/>
        <v>-300</v>
      </c>
      <c r="Q41" s="59">
        <v>146.03</v>
      </c>
      <c r="R41" s="56">
        <v>200</v>
      </c>
      <c r="S41" s="57">
        <f t="shared" si="57"/>
        <v>-53.97</v>
      </c>
      <c r="T41" s="60">
        <v>0</v>
      </c>
      <c r="U41" s="63">
        <v>200</v>
      </c>
      <c r="V41" s="137">
        <f t="shared" si="62"/>
        <v>-200</v>
      </c>
      <c r="W41" s="61">
        <v>0</v>
      </c>
      <c r="X41" s="63">
        <v>200</v>
      </c>
      <c r="Y41" s="137">
        <f t="shared" si="58"/>
        <v>-200</v>
      </c>
      <c r="Z41" s="60">
        <v>0</v>
      </c>
      <c r="AA41" s="63">
        <v>200</v>
      </c>
      <c r="AB41" s="137">
        <f t="shared" si="59"/>
        <v>-200</v>
      </c>
      <c r="AC41" s="60">
        <v>0</v>
      </c>
      <c r="AD41" s="138">
        <v>200</v>
      </c>
      <c r="AE41" s="137">
        <f t="shared" si="60"/>
        <v>-200</v>
      </c>
      <c r="AF41" s="60">
        <v>134</v>
      </c>
      <c r="AG41" s="138">
        <v>200</v>
      </c>
      <c r="AH41" s="57">
        <f t="shared" si="61"/>
        <v>-66</v>
      </c>
      <c r="AI41" s="60">
        <v>0</v>
      </c>
      <c r="AJ41" s="63">
        <f t="shared" si="63"/>
        <v>-155.33333333333334</v>
      </c>
      <c r="AK41" s="138">
        <v>200</v>
      </c>
    </row>
    <row r="42" spans="1:37" ht="20.25" customHeight="1">
      <c r="A42" s="136" t="s">
        <v>10</v>
      </c>
      <c r="B42" s="50">
        <v>1333.74</v>
      </c>
      <c r="C42" s="51">
        <v>3000</v>
      </c>
      <c r="D42" s="52">
        <f t="shared" si="52"/>
        <v>-1666.26</v>
      </c>
      <c r="E42" s="153">
        <v>842.94</v>
      </c>
      <c r="F42" s="51">
        <v>2500</v>
      </c>
      <c r="G42" s="52">
        <f t="shared" si="53"/>
        <v>-1657.06</v>
      </c>
      <c r="H42" s="54">
        <v>1514.65</v>
      </c>
      <c r="I42" s="51">
        <v>2000</v>
      </c>
      <c r="J42" s="52">
        <f t="shared" si="54"/>
        <v>-485.34999999999991</v>
      </c>
      <c r="K42" s="55">
        <v>1297.3699999999999</v>
      </c>
      <c r="L42" s="56">
        <v>2000</v>
      </c>
      <c r="M42" s="57">
        <f t="shared" si="55"/>
        <v>-702.63000000000011</v>
      </c>
      <c r="N42" s="55">
        <v>1467.13</v>
      </c>
      <c r="O42" s="56">
        <v>2000</v>
      </c>
      <c r="P42" s="104">
        <f t="shared" si="56"/>
        <v>-532.86999999999989</v>
      </c>
      <c r="Q42" s="59">
        <v>1846.02</v>
      </c>
      <c r="R42" s="56">
        <v>2000</v>
      </c>
      <c r="S42" s="57">
        <f t="shared" si="57"/>
        <v>-153.98000000000002</v>
      </c>
      <c r="T42" s="60">
        <v>1115.6400000000001</v>
      </c>
      <c r="U42" s="63">
        <v>2000</v>
      </c>
      <c r="V42" s="137">
        <f t="shared" si="62"/>
        <v>-884.3599999999999</v>
      </c>
      <c r="W42" s="61">
        <v>957.6</v>
      </c>
      <c r="X42" s="63">
        <v>2000</v>
      </c>
      <c r="Y42" s="137">
        <f t="shared" si="58"/>
        <v>-1042.4000000000001</v>
      </c>
      <c r="Z42" s="60">
        <v>828.98</v>
      </c>
      <c r="AA42" s="63">
        <v>2000</v>
      </c>
      <c r="AB42" s="137">
        <f t="shared" si="59"/>
        <v>-1171.02</v>
      </c>
      <c r="AC42" s="60">
        <v>999.08</v>
      </c>
      <c r="AD42" s="138">
        <v>2000</v>
      </c>
      <c r="AE42" s="137">
        <f t="shared" si="60"/>
        <v>-1000.92</v>
      </c>
      <c r="AF42" s="60">
        <v>6240.22</v>
      </c>
      <c r="AG42" s="138">
        <v>2000</v>
      </c>
      <c r="AH42" s="57">
        <f t="shared" si="61"/>
        <v>4240.22</v>
      </c>
      <c r="AI42" s="60">
        <v>8573.07</v>
      </c>
      <c r="AJ42" s="63">
        <f t="shared" si="63"/>
        <v>689.42666666666673</v>
      </c>
      <c r="AK42" s="138">
        <v>5000</v>
      </c>
    </row>
    <row r="43" spans="1:37" ht="20.25" customHeight="1">
      <c r="A43" s="136" t="s">
        <v>72</v>
      </c>
      <c r="B43" s="50"/>
      <c r="C43" s="51"/>
      <c r="D43" s="52"/>
      <c r="E43" s="153"/>
      <c r="F43" s="51"/>
      <c r="G43" s="52"/>
      <c r="H43" s="54"/>
      <c r="I43" s="51"/>
      <c r="J43" s="52"/>
      <c r="K43" s="55"/>
      <c r="L43" s="56"/>
      <c r="M43" s="57"/>
      <c r="N43" s="55"/>
      <c r="O43" s="56"/>
      <c r="P43" s="104"/>
      <c r="Q43" s="59"/>
      <c r="R43" s="56"/>
      <c r="S43" s="57"/>
      <c r="T43" s="60"/>
      <c r="U43" s="63"/>
      <c r="V43" s="137"/>
      <c r="W43" s="61"/>
      <c r="X43" s="63"/>
      <c r="Y43" s="137"/>
      <c r="Z43" s="60">
        <v>0</v>
      </c>
      <c r="AA43" s="63">
        <v>0</v>
      </c>
      <c r="AB43" s="137">
        <f t="shared" si="59"/>
        <v>0</v>
      </c>
      <c r="AC43" s="60">
        <v>0</v>
      </c>
      <c r="AD43" s="138">
        <v>0</v>
      </c>
      <c r="AE43" s="137">
        <f t="shared" si="60"/>
        <v>0</v>
      </c>
      <c r="AF43" s="60">
        <v>600</v>
      </c>
      <c r="AG43" s="138">
        <v>600</v>
      </c>
      <c r="AH43" s="57">
        <v>600</v>
      </c>
      <c r="AI43" s="60">
        <v>0</v>
      </c>
      <c r="AJ43" s="63">
        <f t="shared" si="63"/>
        <v>200</v>
      </c>
      <c r="AK43" s="138">
        <v>600</v>
      </c>
    </row>
    <row r="44" spans="1:37" ht="20.25" customHeight="1">
      <c r="A44" s="136" t="s">
        <v>73</v>
      </c>
      <c r="B44" s="50"/>
      <c r="C44" s="51"/>
      <c r="D44" s="52"/>
      <c r="E44" s="153"/>
      <c r="F44" s="51"/>
      <c r="G44" s="52"/>
      <c r="H44" s="54"/>
      <c r="I44" s="51"/>
      <c r="J44" s="52"/>
      <c r="K44" s="55"/>
      <c r="L44" s="56"/>
      <c r="M44" s="57"/>
      <c r="N44" s="55"/>
      <c r="O44" s="56"/>
      <c r="P44" s="104"/>
      <c r="Q44" s="59"/>
      <c r="R44" s="56"/>
      <c r="S44" s="57"/>
      <c r="T44" s="60"/>
      <c r="U44" s="63"/>
      <c r="V44" s="137"/>
      <c r="W44" s="61"/>
      <c r="X44" s="63"/>
      <c r="Y44" s="137"/>
      <c r="Z44" s="60">
        <v>0</v>
      </c>
      <c r="AA44" s="63">
        <v>0</v>
      </c>
      <c r="AB44" s="137">
        <v>0</v>
      </c>
      <c r="AC44" s="60">
        <v>0</v>
      </c>
      <c r="AD44" s="138">
        <v>0</v>
      </c>
      <c r="AE44" s="137">
        <f t="shared" si="60"/>
        <v>0</v>
      </c>
      <c r="AF44" s="60">
        <v>837.39</v>
      </c>
      <c r="AG44" s="138">
        <v>1000</v>
      </c>
      <c r="AH44" s="57">
        <v>1000</v>
      </c>
      <c r="AI44" s="60">
        <v>625.71</v>
      </c>
      <c r="AJ44" s="63">
        <f t="shared" si="63"/>
        <v>333.33333333333331</v>
      </c>
      <c r="AK44" s="138">
        <v>1000</v>
      </c>
    </row>
    <row r="45" spans="1:37" ht="20.25" customHeight="1">
      <c r="A45" s="136" t="s">
        <v>12</v>
      </c>
      <c r="B45" s="50">
        <v>50</v>
      </c>
      <c r="C45" s="51">
        <v>500</v>
      </c>
      <c r="D45" s="52">
        <f t="shared" si="52"/>
        <v>-450</v>
      </c>
      <c r="E45" s="153">
        <v>0</v>
      </c>
      <c r="F45" s="51">
        <v>300</v>
      </c>
      <c r="G45" s="52">
        <f t="shared" si="53"/>
        <v>-300</v>
      </c>
      <c r="H45" s="54">
        <v>0</v>
      </c>
      <c r="I45" s="51">
        <v>300</v>
      </c>
      <c r="J45" s="52">
        <f t="shared" si="54"/>
        <v>-300</v>
      </c>
      <c r="K45" s="55">
        <v>0</v>
      </c>
      <c r="L45" s="56">
        <v>300</v>
      </c>
      <c r="M45" s="57">
        <f t="shared" si="55"/>
        <v>-300</v>
      </c>
      <c r="N45" s="55">
        <v>0</v>
      </c>
      <c r="O45" s="56">
        <v>300</v>
      </c>
      <c r="P45" s="104">
        <f t="shared" si="56"/>
        <v>-300</v>
      </c>
      <c r="Q45" s="59">
        <v>0</v>
      </c>
      <c r="R45" s="56">
        <v>300</v>
      </c>
      <c r="S45" s="57">
        <f t="shared" si="57"/>
        <v>-300</v>
      </c>
      <c r="T45" s="60">
        <v>0</v>
      </c>
      <c r="U45" s="63">
        <v>300</v>
      </c>
      <c r="V45" s="137">
        <f t="shared" si="62"/>
        <v>-300</v>
      </c>
      <c r="W45" s="61">
        <v>0</v>
      </c>
      <c r="X45" s="63">
        <v>300</v>
      </c>
      <c r="Y45" s="137">
        <f t="shared" si="58"/>
        <v>-300</v>
      </c>
      <c r="Z45" s="60">
        <v>100</v>
      </c>
      <c r="AA45" s="63">
        <v>300</v>
      </c>
      <c r="AB45" s="137">
        <f t="shared" si="59"/>
        <v>-200</v>
      </c>
      <c r="AC45" s="60">
        <v>0</v>
      </c>
      <c r="AD45" s="138">
        <v>300</v>
      </c>
      <c r="AE45" s="137">
        <f t="shared" si="60"/>
        <v>-300</v>
      </c>
      <c r="AF45" s="60">
        <v>0</v>
      </c>
      <c r="AG45" s="138">
        <v>1200</v>
      </c>
      <c r="AH45" s="57">
        <f t="shared" si="61"/>
        <v>-1200</v>
      </c>
      <c r="AI45" s="60">
        <v>0</v>
      </c>
      <c r="AJ45" s="63">
        <f t="shared" si="63"/>
        <v>-566.66666666666663</v>
      </c>
      <c r="AK45" s="138">
        <v>1200</v>
      </c>
    </row>
    <row r="46" spans="1:37" ht="20.25" customHeight="1">
      <c r="A46" s="136" t="s">
        <v>26</v>
      </c>
      <c r="B46" s="50">
        <v>0</v>
      </c>
      <c r="C46" s="51">
        <v>0</v>
      </c>
      <c r="D46" s="52">
        <f t="shared" si="52"/>
        <v>0</v>
      </c>
      <c r="E46" s="153">
        <v>0</v>
      </c>
      <c r="F46" s="51">
        <v>0</v>
      </c>
      <c r="G46" s="52">
        <f t="shared" si="53"/>
        <v>0</v>
      </c>
      <c r="H46" s="54">
        <v>0</v>
      </c>
      <c r="I46" s="51">
        <v>0</v>
      </c>
      <c r="J46" s="52">
        <f t="shared" si="54"/>
        <v>0</v>
      </c>
      <c r="K46" s="55">
        <v>0</v>
      </c>
      <c r="L46" s="56">
        <v>0</v>
      </c>
      <c r="M46" s="57">
        <f t="shared" si="55"/>
        <v>0</v>
      </c>
      <c r="N46" s="55">
        <v>0</v>
      </c>
      <c r="O46" s="56">
        <v>0</v>
      </c>
      <c r="P46" s="104">
        <f t="shared" si="56"/>
        <v>0</v>
      </c>
      <c r="Q46" s="59">
        <v>0</v>
      </c>
      <c r="R46" s="56">
        <v>0</v>
      </c>
      <c r="S46" s="57">
        <f t="shared" si="57"/>
        <v>0</v>
      </c>
      <c r="T46" s="60">
        <f>+(H46+E46+K46+B46)/4</f>
        <v>0</v>
      </c>
      <c r="U46" s="63">
        <v>0</v>
      </c>
      <c r="V46" s="137">
        <f t="shared" si="62"/>
        <v>0</v>
      </c>
      <c r="W46" s="61">
        <v>0</v>
      </c>
      <c r="X46" s="63">
        <v>0</v>
      </c>
      <c r="Y46" s="137">
        <f t="shared" si="58"/>
        <v>0</v>
      </c>
      <c r="Z46" s="60">
        <v>0</v>
      </c>
      <c r="AA46" s="63">
        <v>0</v>
      </c>
      <c r="AB46" s="137">
        <f t="shared" si="59"/>
        <v>0</v>
      </c>
      <c r="AC46" s="60">
        <v>0</v>
      </c>
      <c r="AD46" s="138">
        <v>0</v>
      </c>
      <c r="AE46" s="137">
        <f t="shared" si="60"/>
        <v>0</v>
      </c>
      <c r="AF46" s="60">
        <v>0</v>
      </c>
      <c r="AG46" s="138">
        <v>500</v>
      </c>
      <c r="AH46" s="57">
        <f t="shared" si="61"/>
        <v>-500</v>
      </c>
      <c r="AI46" s="60">
        <v>0</v>
      </c>
      <c r="AJ46" s="63">
        <f t="shared" si="63"/>
        <v>-166.66666666666666</v>
      </c>
      <c r="AK46" s="138">
        <v>500</v>
      </c>
    </row>
    <row r="47" spans="1:37" ht="20.25" customHeight="1" thickBot="1">
      <c r="A47" s="139" t="s">
        <v>27</v>
      </c>
      <c r="B47" s="154">
        <v>0</v>
      </c>
      <c r="C47" s="67">
        <v>0</v>
      </c>
      <c r="D47" s="68">
        <f t="shared" si="52"/>
        <v>0</v>
      </c>
      <c r="E47" s="155">
        <v>0</v>
      </c>
      <c r="F47" s="67">
        <v>0</v>
      </c>
      <c r="G47" s="68">
        <f t="shared" si="53"/>
        <v>0</v>
      </c>
      <c r="H47" s="156">
        <v>0</v>
      </c>
      <c r="I47" s="67">
        <v>0</v>
      </c>
      <c r="J47" s="68">
        <f t="shared" si="54"/>
        <v>0</v>
      </c>
      <c r="K47" s="144">
        <v>0</v>
      </c>
      <c r="L47" s="72">
        <v>0</v>
      </c>
      <c r="M47" s="73">
        <f t="shared" si="55"/>
        <v>0</v>
      </c>
      <c r="N47" s="144">
        <v>0</v>
      </c>
      <c r="O47" s="72">
        <v>0</v>
      </c>
      <c r="P47" s="145">
        <f t="shared" si="56"/>
        <v>0</v>
      </c>
      <c r="Q47" s="71">
        <v>0</v>
      </c>
      <c r="R47" s="72">
        <v>0</v>
      </c>
      <c r="S47" s="73">
        <f t="shared" si="57"/>
        <v>0</v>
      </c>
      <c r="T47" s="76">
        <f>+(H47+E47+K47+B47)/4</f>
        <v>0</v>
      </c>
      <c r="U47" s="80">
        <v>0</v>
      </c>
      <c r="V47" s="146">
        <f t="shared" si="62"/>
        <v>0</v>
      </c>
      <c r="W47" s="76">
        <v>0</v>
      </c>
      <c r="X47" s="80">
        <v>0</v>
      </c>
      <c r="Y47" s="146">
        <f t="shared" si="58"/>
        <v>0</v>
      </c>
      <c r="Z47" s="76">
        <v>0</v>
      </c>
      <c r="AA47" s="80">
        <v>0</v>
      </c>
      <c r="AB47" s="146">
        <f t="shared" si="59"/>
        <v>0</v>
      </c>
      <c r="AC47" s="76">
        <v>0</v>
      </c>
      <c r="AD47" s="147">
        <v>0</v>
      </c>
      <c r="AE47" s="146">
        <f t="shared" si="60"/>
        <v>0</v>
      </c>
      <c r="AF47" s="76">
        <v>0</v>
      </c>
      <c r="AG47" s="147">
        <v>0</v>
      </c>
      <c r="AH47" s="73">
        <f t="shared" si="61"/>
        <v>0</v>
      </c>
      <c r="AI47" s="76">
        <v>0</v>
      </c>
      <c r="AJ47" s="80">
        <f t="shared" si="63"/>
        <v>0</v>
      </c>
      <c r="AK47" s="147">
        <v>10000</v>
      </c>
    </row>
    <row r="48" spans="1:37" ht="20.25" customHeight="1" thickTop="1" thickBot="1">
      <c r="A48" s="148" t="s">
        <v>33</v>
      </c>
      <c r="B48" s="82">
        <f>SUM(B38:B47)</f>
        <v>45147.839999999997</v>
      </c>
      <c r="C48" s="83">
        <f>SUM(C38:C47)</f>
        <v>47441</v>
      </c>
      <c r="D48" s="84">
        <f t="shared" si="52"/>
        <v>-2293.1600000000035</v>
      </c>
      <c r="E48" s="157">
        <f>SUM(E38:E47)</f>
        <v>46220.32</v>
      </c>
      <c r="F48" s="83">
        <f>SUM(F38:F47)</f>
        <v>48166</v>
      </c>
      <c r="G48" s="84">
        <f>SUM(G38:G47)</f>
        <v>-1945.6799999999998</v>
      </c>
      <c r="H48" s="86">
        <f>SUM(H38:H47)</f>
        <v>47922.48</v>
      </c>
      <c r="I48" s="83">
        <f>SUM(I38:I47)</f>
        <v>49534.49</v>
      </c>
      <c r="J48" s="84">
        <f t="shared" si="54"/>
        <v>-1612.0099999999948</v>
      </c>
      <c r="K48" s="87">
        <f t="shared" ref="K48:Q48" si="64">SUM(K38:K47)</f>
        <v>49701.130000000005</v>
      </c>
      <c r="L48" s="88">
        <f t="shared" si="64"/>
        <v>50752</v>
      </c>
      <c r="M48" s="89">
        <f t="shared" si="64"/>
        <v>-1050.8700000000003</v>
      </c>
      <c r="N48" s="87">
        <f t="shared" si="64"/>
        <v>50440.17</v>
      </c>
      <c r="O48" s="88">
        <f t="shared" si="64"/>
        <v>51797</v>
      </c>
      <c r="P48" s="150">
        <f t="shared" si="64"/>
        <v>-1356.83</v>
      </c>
      <c r="Q48" s="87">
        <f t="shared" si="64"/>
        <v>52194.539999999994</v>
      </c>
      <c r="R48" s="88">
        <v>52839</v>
      </c>
      <c r="S48" s="89">
        <f t="shared" ref="S48:AE48" si="65">SUM(S38:S47)</f>
        <v>-644.46000000000345</v>
      </c>
      <c r="T48" s="91">
        <f t="shared" si="65"/>
        <v>54211.64</v>
      </c>
      <c r="U48" s="88">
        <f t="shared" si="65"/>
        <v>56136</v>
      </c>
      <c r="V48" s="89">
        <f t="shared" si="65"/>
        <v>-1924.36</v>
      </c>
      <c r="W48" s="151">
        <f t="shared" si="65"/>
        <v>54731.07</v>
      </c>
      <c r="X48" s="151">
        <f t="shared" si="65"/>
        <v>56937</v>
      </c>
      <c r="Y48" s="89">
        <f t="shared" si="65"/>
        <v>-2205.9299999999985</v>
      </c>
      <c r="Z48" s="87">
        <f t="shared" si="65"/>
        <v>56705.850000000006</v>
      </c>
      <c r="AA48" s="88">
        <f t="shared" si="65"/>
        <v>58755</v>
      </c>
      <c r="AB48" s="89">
        <f t="shared" si="65"/>
        <v>-2049.1499999999974</v>
      </c>
      <c r="AC48" s="87">
        <f t="shared" si="65"/>
        <v>58148.18</v>
      </c>
      <c r="AD48" s="88">
        <f t="shared" si="65"/>
        <v>60500</v>
      </c>
      <c r="AE48" s="89">
        <f t="shared" si="65"/>
        <v>-2351.8200000000015</v>
      </c>
      <c r="AF48" s="91">
        <f t="shared" ref="AF48:AH48" si="66">SUM(AF38:AF47)</f>
        <v>28889.599999999999</v>
      </c>
      <c r="AG48" s="152">
        <f t="shared" si="66"/>
        <v>51000</v>
      </c>
      <c r="AH48" s="94">
        <f t="shared" si="66"/>
        <v>-20347.79</v>
      </c>
      <c r="AI48" s="91">
        <f>SUM(AI38:AI47)</f>
        <v>44890.28</v>
      </c>
      <c r="AJ48" s="152">
        <f>SUM(AJ38:AJ47)</f>
        <v>-8249.586666666668</v>
      </c>
      <c r="AK48" s="94">
        <f>SUM(AK38:AK47)</f>
        <v>81900</v>
      </c>
    </row>
    <row r="49" spans="1:38" ht="20.25" customHeight="1" thickBot="1">
      <c r="A49" s="158"/>
      <c r="B49" s="159"/>
      <c r="C49" s="159"/>
      <c r="D49" s="159"/>
      <c r="E49" s="159"/>
      <c r="F49" s="159"/>
      <c r="G49" s="159"/>
      <c r="H49" s="159"/>
      <c r="I49" s="159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23"/>
      <c r="U49" s="23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1"/>
    </row>
    <row r="50" spans="1:38" ht="20.25" customHeight="1" thickBot="1">
      <c r="A50" s="162" t="s">
        <v>52</v>
      </c>
      <c r="B50" s="163">
        <f>+B36+B29+B48+B14</f>
        <v>77583.3</v>
      </c>
      <c r="C50" s="164">
        <f>+C36+C29+C48+C14</f>
        <v>75341</v>
      </c>
      <c r="D50" s="165">
        <f>+B50-C50</f>
        <v>2242.3000000000029</v>
      </c>
      <c r="E50" s="163">
        <f>+E36+E29+E48+E14</f>
        <v>92077.43</v>
      </c>
      <c r="F50" s="164">
        <f>+F36+F29+F48+F14</f>
        <v>77366</v>
      </c>
      <c r="G50" s="165">
        <f>+E50-F50</f>
        <v>14711.429999999993</v>
      </c>
      <c r="H50" s="166">
        <f>+H36+H29+H48+H14</f>
        <v>77095.665000000008</v>
      </c>
      <c r="I50" s="164">
        <f>+I36+I29+I48+I14</f>
        <v>80834.489999999991</v>
      </c>
      <c r="J50" s="165">
        <f>+H50-I50</f>
        <v>-3738.8249999999825</v>
      </c>
      <c r="K50" s="167">
        <f t="shared" ref="K50:AK50" si="67">+K36+K29+K48+K14</f>
        <v>76330.010000000009</v>
      </c>
      <c r="L50" s="168">
        <f t="shared" si="67"/>
        <v>82216</v>
      </c>
      <c r="M50" s="169">
        <f t="shared" si="67"/>
        <v>-5885.989999999998</v>
      </c>
      <c r="N50" s="167">
        <f t="shared" si="67"/>
        <v>84065.739999999991</v>
      </c>
      <c r="O50" s="168">
        <f t="shared" si="67"/>
        <v>83361</v>
      </c>
      <c r="P50" s="170">
        <f t="shared" si="67"/>
        <v>704.73999999999978</v>
      </c>
      <c r="Q50" s="171">
        <f t="shared" si="67"/>
        <v>106464.60999999999</v>
      </c>
      <c r="R50" s="168">
        <f t="shared" si="67"/>
        <v>84003</v>
      </c>
      <c r="S50" s="169">
        <f t="shared" si="67"/>
        <v>-2988.390000000004</v>
      </c>
      <c r="T50" s="171">
        <f t="shared" si="67"/>
        <v>82466.13</v>
      </c>
      <c r="U50" s="168">
        <f t="shared" si="67"/>
        <v>88636</v>
      </c>
      <c r="V50" s="169">
        <f t="shared" si="67"/>
        <v>-6169.8700000000008</v>
      </c>
      <c r="W50" s="171">
        <f t="shared" si="67"/>
        <v>83306.06</v>
      </c>
      <c r="X50" s="172">
        <f t="shared" si="67"/>
        <v>89812.75</v>
      </c>
      <c r="Y50" s="170">
        <f t="shared" si="67"/>
        <v>-6506.6899999999978</v>
      </c>
      <c r="Z50" s="172">
        <f t="shared" si="67"/>
        <v>106534.84</v>
      </c>
      <c r="AA50" s="172">
        <f t="shared" si="67"/>
        <v>92255</v>
      </c>
      <c r="AB50" s="172">
        <f t="shared" si="67"/>
        <v>14279.840000000004</v>
      </c>
      <c r="AC50" s="172">
        <f t="shared" si="67"/>
        <v>93109.209999999992</v>
      </c>
      <c r="AD50" s="172">
        <f t="shared" si="67"/>
        <v>96550</v>
      </c>
      <c r="AE50" s="172">
        <f t="shared" si="67"/>
        <v>-3440.7900000000009</v>
      </c>
      <c r="AF50" s="171">
        <f t="shared" si="67"/>
        <v>103387.23</v>
      </c>
      <c r="AG50" s="168">
        <f t="shared" si="67"/>
        <v>89000</v>
      </c>
      <c r="AH50" s="173">
        <f t="shared" si="67"/>
        <v>16149.839999999998</v>
      </c>
      <c r="AI50" s="171">
        <f>AI14+AI29+AI36+AI48</f>
        <v>89415.59</v>
      </c>
      <c r="AJ50" s="168">
        <f t="shared" si="67"/>
        <v>2654.6299999999974</v>
      </c>
      <c r="AK50" s="173">
        <f t="shared" si="67"/>
        <v>129700</v>
      </c>
      <c r="AL50" s="179"/>
    </row>
    <row r="51" spans="1:38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2"/>
      <c r="U51" s="22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</row>
    <row r="52" spans="1:38" s="177" customFormat="1">
      <c r="A52" s="174" t="s">
        <v>74</v>
      </c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5"/>
      <c r="U52" s="176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</row>
  </sheetData>
  <sortState ref="A1:AK48">
    <sortCondition ref="A30"/>
  </sortState>
  <mergeCells count="16">
    <mergeCell ref="A37:AK37"/>
    <mergeCell ref="AF2:AH2"/>
    <mergeCell ref="A1:AK1"/>
    <mergeCell ref="A4:AK4"/>
    <mergeCell ref="A15:AK15"/>
    <mergeCell ref="A30:AK30"/>
    <mergeCell ref="N2:P2"/>
    <mergeCell ref="B2:D2"/>
    <mergeCell ref="E2:G2"/>
    <mergeCell ref="H2:J2"/>
    <mergeCell ref="K2:M2"/>
    <mergeCell ref="Q2:S2"/>
    <mergeCell ref="T2:V2"/>
    <mergeCell ref="W2:Y2"/>
    <mergeCell ref="Z2:AB2"/>
    <mergeCell ref="AC2:AE2"/>
  </mergeCells>
  <printOptions horizontalCentered="1"/>
  <pageMargins left="0.25" right="0.25" top="0.25" bottom="0.25" header="0" footer="0"/>
  <pageSetup scale="56" pageOrder="overThenDown" orientation="landscape" r:id="rId1"/>
  <headerFooter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9"/>
  <sheetViews>
    <sheetView zoomScale="130" zoomScaleNormal="130" workbookViewId="0">
      <selection activeCell="G6" sqref="G6"/>
    </sheetView>
  </sheetViews>
  <sheetFormatPr defaultRowHeight="15"/>
  <cols>
    <col min="1" max="1" width="28.5703125" style="1" customWidth="1"/>
    <col min="2" max="2" width="9.140625" style="7"/>
    <col min="3" max="3" width="11.140625" style="5" bestFit="1" customWidth="1"/>
    <col min="4" max="4" width="12.7109375" style="6" bestFit="1" customWidth="1"/>
    <col min="7" max="7" width="9.85546875" bestFit="1" customWidth="1"/>
  </cols>
  <sheetData>
    <row r="1" spans="1:7">
      <c r="A1" s="194" t="s">
        <v>37</v>
      </c>
      <c r="B1" s="194"/>
      <c r="C1" s="194"/>
      <c r="D1" s="194"/>
    </row>
    <row r="2" spans="1:7">
      <c r="A2" s="194" t="s">
        <v>63</v>
      </c>
      <c r="B2" s="194"/>
      <c r="C2" s="194"/>
      <c r="D2" s="194"/>
    </row>
    <row r="3" spans="1:7" ht="30">
      <c r="A3" s="8"/>
      <c r="B3" s="20"/>
      <c r="C3" s="9"/>
      <c r="D3" s="10" t="s">
        <v>50</v>
      </c>
    </row>
    <row r="4" spans="1:7">
      <c r="A4" s="9"/>
      <c r="B4" s="195"/>
      <c r="C4" s="195"/>
      <c r="D4" s="195"/>
    </row>
    <row r="5" spans="1:7">
      <c r="A5" s="11" t="s">
        <v>38</v>
      </c>
      <c r="B5" s="8"/>
      <c r="C5" s="12"/>
      <c r="D5" s="13">
        <v>33617</v>
      </c>
      <c r="G5" s="2"/>
    </row>
    <row r="6" spans="1:7">
      <c r="A6" s="11" t="s">
        <v>69</v>
      </c>
      <c r="B6" s="14">
        <v>20</v>
      </c>
      <c r="C6" s="15"/>
      <c r="D6" s="15"/>
    </row>
    <row r="7" spans="1:7" ht="15.75" customHeight="1">
      <c r="A7" s="9" t="s">
        <v>64</v>
      </c>
      <c r="B7" s="16">
        <v>10</v>
      </c>
      <c r="C7" s="15">
        <v>825</v>
      </c>
      <c r="D7" s="15">
        <f>B7*C7</f>
        <v>8250</v>
      </c>
    </row>
    <row r="8" spans="1:7">
      <c r="A8" s="9" t="s">
        <v>65</v>
      </c>
      <c r="B8" s="16">
        <v>5</v>
      </c>
      <c r="C8" s="15">
        <v>650</v>
      </c>
      <c r="D8" s="15">
        <f t="shared" ref="D8:D9" si="0">B8*C8</f>
        <v>3250</v>
      </c>
    </row>
    <row r="9" spans="1:7">
      <c r="A9" s="9" t="s">
        <v>66</v>
      </c>
      <c r="B9" s="16">
        <v>5</v>
      </c>
      <c r="C9" s="15">
        <v>400</v>
      </c>
      <c r="D9" s="15">
        <f t="shared" si="0"/>
        <v>2000</v>
      </c>
    </row>
    <row r="10" spans="1:7">
      <c r="A10" s="9" t="s">
        <v>67</v>
      </c>
      <c r="B10" s="16"/>
      <c r="C10" s="15"/>
      <c r="D10" s="15"/>
    </row>
    <row r="11" spans="1:7">
      <c r="A11" s="9" t="s">
        <v>68</v>
      </c>
      <c r="B11" s="16"/>
      <c r="C11" s="15"/>
      <c r="D11" s="15"/>
    </row>
    <row r="12" spans="1:7" ht="15" customHeight="1">
      <c r="A12" s="17" t="s">
        <v>39</v>
      </c>
      <c r="B12" s="8">
        <v>30</v>
      </c>
      <c r="C12" s="13"/>
      <c r="D12" s="13"/>
    </row>
    <row r="13" spans="1:7">
      <c r="A13" s="9" t="s">
        <v>57</v>
      </c>
      <c r="B13" s="8"/>
      <c r="C13" s="13"/>
      <c r="D13" s="13"/>
    </row>
    <row r="14" spans="1:7">
      <c r="A14" s="9" t="s">
        <v>58</v>
      </c>
      <c r="B14" s="8"/>
      <c r="C14" s="13"/>
      <c r="D14" s="13"/>
    </row>
    <row r="15" spans="1:7">
      <c r="A15" s="9" t="s">
        <v>59</v>
      </c>
      <c r="B15" s="8"/>
      <c r="C15" s="13"/>
      <c r="D15" s="13"/>
    </row>
    <row r="16" spans="1:7">
      <c r="A16" s="9" t="s">
        <v>60</v>
      </c>
      <c r="B16" s="8"/>
      <c r="C16" s="13"/>
      <c r="D16" s="13"/>
    </row>
    <row r="17" spans="1:4">
      <c r="A17" s="9" t="s">
        <v>40</v>
      </c>
      <c r="B17" s="8"/>
      <c r="C17" s="13"/>
      <c r="D17" s="13"/>
    </row>
    <row r="18" spans="1:4">
      <c r="A18" s="18" t="s">
        <v>41</v>
      </c>
      <c r="B18" s="14"/>
      <c r="C18" s="15"/>
      <c r="D18" s="15">
        <f>SUM(D5:D12)</f>
        <v>47117</v>
      </c>
    </row>
    <row r="19" spans="1:4">
      <c r="A19" s="9" t="s">
        <v>42</v>
      </c>
      <c r="B19" s="8"/>
      <c r="C19" s="13"/>
      <c r="D19" s="13">
        <f>+D18*15%</f>
        <v>7067.55</v>
      </c>
    </row>
    <row r="20" spans="1:4">
      <c r="A20" s="11" t="s">
        <v>43</v>
      </c>
      <c r="B20" s="8"/>
      <c r="C20" s="13"/>
      <c r="D20" s="13">
        <f>+D18+D19</f>
        <v>54184.55</v>
      </c>
    </row>
    <row r="21" spans="1:4">
      <c r="A21" s="9"/>
      <c r="B21" s="8"/>
      <c r="C21" s="13"/>
      <c r="D21" s="13"/>
    </row>
    <row r="22" spans="1:4">
      <c r="A22" s="9" t="s">
        <v>44</v>
      </c>
      <c r="B22" s="14"/>
      <c r="C22" s="15"/>
      <c r="D22" s="15">
        <f>+D20*7.65%</f>
        <v>4145.1180750000003</v>
      </c>
    </row>
    <row r="23" spans="1:4" ht="30">
      <c r="A23" s="9" t="s">
        <v>46</v>
      </c>
      <c r="B23" s="14"/>
      <c r="C23" s="15"/>
      <c r="D23" s="15">
        <f>+D20*14%</f>
        <v>7585.8370000000014</v>
      </c>
    </row>
    <row r="24" spans="1:4">
      <c r="A24" s="9"/>
      <c r="B24" s="8"/>
      <c r="C24" s="13"/>
      <c r="D24" s="13"/>
    </row>
    <row r="25" spans="1:4" ht="30">
      <c r="A25" s="9" t="s">
        <v>45</v>
      </c>
      <c r="B25" s="14"/>
      <c r="C25" s="15"/>
      <c r="D25" s="15">
        <f>+D20*1.5%</f>
        <v>812.76824999999997</v>
      </c>
    </row>
    <row r="26" spans="1:4">
      <c r="A26" s="9"/>
      <c r="B26" s="8"/>
      <c r="C26" s="13"/>
      <c r="D26" s="13"/>
    </row>
    <row r="27" spans="1:4">
      <c r="A27" s="11" t="s">
        <v>47</v>
      </c>
      <c r="B27" s="8"/>
      <c r="C27" s="19">
        <f>D27/12</f>
        <v>5560.6894437500005</v>
      </c>
      <c r="D27" s="19">
        <f>+D20+D22+D23+D25</f>
        <v>66728.273325000002</v>
      </c>
    </row>
    <row r="28" spans="1:4">
      <c r="A28" s="11" t="s">
        <v>70</v>
      </c>
      <c r="B28" s="8"/>
      <c r="C28" s="19">
        <f t="shared" ref="C28:C29" si="1">D28/12</f>
        <v>2780.3447218750002</v>
      </c>
      <c r="D28" s="19">
        <f>D27*0.5</f>
        <v>33364.136662500001</v>
      </c>
    </row>
    <row r="29" spans="1:4">
      <c r="A29" s="11" t="s">
        <v>71</v>
      </c>
      <c r="B29" s="8"/>
      <c r="C29" s="19">
        <f t="shared" si="1"/>
        <v>4170.5170828125001</v>
      </c>
      <c r="D29" s="19">
        <f>D27*0.75</f>
        <v>50046.204993749998</v>
      </c>
    </row>
  </sheetData>
  <mergeCells count="3">
    <mergeCell ref="A1:D1"/>
    <mergeCell ref="A2:D2"/>
    <mergeCell ref="B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Pastor Compensation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User</cp:lastModifiedBy>
  <cp:lastPrinted>2020-12-14T22:02:21Z</cp:lastPrinted>
  <dcterms:created xsi:type="dcterms:W3CDTF">2010-11-14T17:33:54Z</dcterms:created>
  <dcterms:modified xsi:type="dcterms:W3CDTF">2021-06-18T15:27:37Z</dcterms:modified>
</cp:coreProperties>
</file>