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fps01\gp$\Advancement\Grants\Living Water Association\2023 NaviGuide Subsidy in Northeast Ohio\"/>
    </mc:Choice>
  </mc:AlternateContent>
  <xr:revisionPtr revIDLastSave="0" documentId="8_{F344BCB9-7434-44D3-B92B-CEC89158F6B9}" xr6:coauthVersionLast="47" xr6:coauthVersionMax="47" xr10:uidLastSave="{00000000-0000-0000-0000-000000000000}"/>
  <bookViews>
    <workbookView xWindow="28680" yWindow="-120" windowWidth="29040" windowHeight="15840" xr2:uid="{F398A6C0-9015-481E-97AF-B5D120A8E01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2" i="1" l="1"/>
  <c r="O124" i="1"/>
  <c r="O123" i="1"/>
  <c r="O122" i="1"/>
  <c r="O121" i="1"/>
  <c r="O120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O114" i="1"/>
  <c r="O113" i="1"/>
  <c r="O111" i="1"/>
  <c r="O110" i="1"/>
  <c r="O109" i="1"/>
  <c r="O107" i="1"/>
  <c r="C106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O104" i="1"/>
  <c r="N102" i="1"/>
  <c r="M102" i="1"/>
  <c r="I102" i="1"/>
  <c r="I106" i="1" s="1"/>
  <c r="H102" i="1"/>
  <c r="H106" i="1" s="1"/>
  <c r="G102" i="1"/>
  <c r="G106" i="1" s="1"/>
  <c r="F102" i="1"/>
  <c r="F106" i="1" s="1"/>
  <c r="E102" i="1"/>
  <c r="E106" i="1" s="1"/>
  <c r="D102" i="1"/>
  <c r="D106" i="1" s="1"/>
  <c r="C102" i="1"/>
  <c r="N100" i="1"/>
  <c r="N106" i="1" s="1"/>
  <c r="M100" i="1"/>
  <c r="M106" i="1" s="1"/>
  <c r="L100" i="1"/>
  <c r="L102" i="1" s="1"/>
  <c r="K100" i="1"/>
  <c r="K102" i="1" s="1"/>
  <c r="J100" i="1"/>
  <c r="O99" i="1"/>
  <c r="M92" i="1"/>
  <c r="E92" i="1"/>
  <c r="M89" i="1"/>
  <c r="L89" i="1"/>
  <c r="J89" i="1"/>
  <c r="I89" i="1"/>
  <c r="E89" i="1"/>
  <c r="D89" i="1"/>
  <c r="N88" i="1"/>
  <c r="N89" i="1" s="1"/>
  <c r="M88" i="1"/>
  <c r="L88" i="1"/>
  <c r="K88" i="1"/>
  <c r="K89" i="1" s="1"/>
  <c r="J88" i="1"/>
  <c r="I88" i="1"/>
  <c r="H88" i="1"/>
  <c r="H89" i="1" s="1"/>
  <c r="G88" i="1"/>
  <c r="G89" i="1" s="1"/>
  <c r="F88" i="1"/>
  <c r="F89" i="1" s="1"/>
  <c r="E88" i="1"/>
  <c r="D88" i="1"/>
  <c r="C88" i="1"/>
  <c r="C89" i="1" s="1"/>
  <c r="Z87" i="1"/>
  <c r="N87" i="1"/>
  <c r="M87" i="1"/>
  <c r="J87" i="1"/>
  <c r="I87" i="1"/>
  <c r="G87" i="1"/>
  <c r="F87" i="1"/>
  <c r="E87" i="1"/>
  <c r="N86" i="1"/>
  <c r="M86" i="1"/>
  <c r="L86" i="1"/>
  <c r="L87" i="1" s="1"/>
  <c r="L92" i="1" s="1"/>
  <c r="K86" i="1"/>
  <c r="K87" i="1" s="1"/>
  <c r="J86" i="1"/>
  <c r="I86" i="1"/>
  <c r="H86" i="1"/>
  <c r="H87" i="1" s="1"/>
  <c r="G86" i="1"/>
  <c r="F86" i="1"/>
  <c r="E86" i="1"/>
  <c r="D86" i="1"/>
  <c r="D87" i="1" s="1"/>
  <c r="D92" i="1" s="1"/>
  <c r="C86" i="1"/>
  <c r="Y82" i="1"/>
  <c r="Y84" i="1" s="1"/>
  <c r="Y87" i="1" s="1"/>
  <c r="N82" i="1"/>
  <c r="N92" i="1" s="1"/>
  <c r="M82" i="1"/>
  <c r="L82" i="1"/>
  <c r="K82" i="1"/>
  <c r="J82" i="1"/>
  <c r="J92" i="1" s="1"/>
  <c r="I82" i="1"/>
  <c r="H82" i="1"/>
  <c r="G82" i="1"/>
  <c r="F82" i="1"/>
  <c r="F92" i="1" s="1"/>
  <c r="E82" i="1"/>
  <c r="D82" i="1"/>
  <c r="C82" i="1"/>
  <c r="O81" i="1"/>
  <c r="N80" i="1"/>
  <c r="M80" i="1"/>
  <c r="L80" i="1"/>
  <c r="K80" i="1"/>
  <c r="J80" i="1"/>
  <c r="I80" i="1"/>
  <c r="H80" i="1"/>
  <c r="G80" i="1"/>
  <c r="F80" i="1"/>
  <c r="E80" i="1"/>
  <c r="D80" i="1"/>
  <c r="C80" i="1"/>
  <c r="O80" i="1" s="1"/>
  <c r="N79" i="1"/>
  <c r="M79" i="1"/>
  <c r="L79" i="1"/>
  <c r="K79" i="1"/>
  <c r="J79" i="1"/>
  <c r="I79" i="1"/>
  <c r="H79" i="1"/>
  <c r="G79" i="1"/>
  <c r="F79" i="1"/>
  <c r="E79" i="1"/>
  <c r="D79" i="1"/>
  <c r="C79" i="1"/>
  <c r="O79" i="1" s="1"/>
  <c r="N78" i="1"/>
  <c r="M78" i="1"/>
  <c r="L78" i="1"/>
  <c r="K78" i="1"/>
  <c r="J78" i="1"/>
  <c r="I78" i="1"/>
  <c r="H78" i="1"/>
  <c r="G78" i="1"/>
  <c r="O78" i="1" s="1"/>
  <c r="F78" i="1"/>
  <c r="E78" i="1"/>
  <c r="D78" i="1"/>
  <c r="C78" i="1"/>
  <c r="N77" i="1"/>
  <c r="M77" i="1"/>
  <c r="L77" i="1"/>
  <c r="K77" i="1"/>
  <c r="J77" i="1"/>
  <c r="I77" i="1"/>
  <c r="H77" i="1"/>
  <c r="G77" i="1"/>
  <c r="F77" i="1"/>
  <c r="E77" i="1"/>
  <c r="D77" i="1"/>
  <c r="O77" i="1" s="1"/>
  <c r="C77" i="1"/>
  <c r="M67" i="1"/>
  <c r="L67" i="1"/>
  <c r="H67" i="1"/>
  <c r="G67" i="1"/>
  <c r="E67" i="1"/>
  <c r="D67" i="1"/>
  <c r="N66" i="1"/>
  <c r="N67" i="1" s="1"/>
  <c r="M66" i="1"/>
  <c r="L66" i="1"/>
  <c r="K66" i="1"/>
  <c r="K67" i="1" s="1"/>
  <c r="J66" i="1"/>
  <c r="I66" i="1"/>
  <c r="I67" i="1" s="1"/>
  <c r="H66" i="1"/>
  <c r="G66" i="1"/>
  <c r="F66" i="1"/>
  <c r="F67" i="1" s="1"/>
  <c r="E66" i="1"/>
  <c r="D66" i="1"/>
  <c r="C66" i="1"/>
  <c r="C67" i="1" s="1"/>
  <c r="N65" i="1"/>
  <c r="J65" i="1"/>
  <c r="I65" i="1"/>
  <c r="G65" i="1"/>
  <c r="F65" i="1"/>
  <c r="N64" i="1"/>
  <c r="M64" i="1"/>
  <c r="M65" i="1" s="1"/>
  <c r="L64" i="1"/>
  <c r="K64" i="1"/>
  <c r="J64" i="1"/>
  <c r="I64" i="1"/>
  <c r="H64" i="1"/>
  <c r="G64" i="1"/>
  <c r="F64" i="1"/>
  <c r="E64" i="1"/>
  <c r="E65" i="1" s="1"/>
  <c r="D64" i="1"/>
  <c r="C64" i="1"/>
  <c r="N57" i="1"/>
  <c r="M57" i="1"/>
  <c r="F57" i="1"/>
  <c r="E57" i="1"/>
  <c r="N55" i="1"/>
  <c r="M55" i="1"/>
  <c r="K55" i="1"/>
  <c r="K57" i="1" s="1"/>
  <c r="J55" i="1"/>
  <c r="J57" i="1" s="1"/>
  <c r="F55" i="1"/>
  <c r="E55" i="1"/>
  <c r="C55" i="1"/>
  <c r="N54" i="1"/>
  <c r="M54" i="1"/>
  <c r="L54" i="1"/>
  <c r="L55" i="1" s="1"/>
  <c r="L57" i="1" s="1"/>
  <c r="K54" i="1"/>
  <c r="J54" i="1"/>
  <c r="I54" i="1"/>
  <c r="I55" i="1" s="1"/>
  <c r="I57" i="1" s="1"/>
  <c r="H54" i="1"/>
  <c r="H55" i="1" s="1"/>
  <c r="H57" i="1" s="1"/>
  <c r="G54" i="1"/>
  <c r="G55" i="1" s="1"/>
  <c r="G57" i="1" s="1"/>
  <c r="F54" i="1"/>
  <c r="E54" i="1"/>
  <c r="D54" i="1"/>
  <c r="D55" i="1" s="1"/>
  <c r="D57" i="1" s="1"/>
  <c r="C54" i="1"/>
  <c r="O53" i="1"/>
  <c r="O52" i="1"/>
  <c r="O51" i="1"/>
  <c r="T14" i="1" s="1"/>
  <c r="O50" i="1"/>
  <c r="O49" i="1"/>
  <c r="O48" i="1"/>
  <c r="O47" i="1"/>
  <c r="L45" i="1"/>
  <c r="K45" i="1"/>
  <c r="I45" i="1"/>
  <c r="H45" i="1"/>
  <c r="D45" i="1"/>
  <c r="C45" i="1"/>
  <c r="I42" i="1"/>
  <c r="C39" i="1"/>
  <c r="D39" i="1" s="1"/>
  <c r="E39" i="1" s="1"/>
  <c r="N38" i="1"/>
  <c r="N45" i="1" s="1"/>
  <c r="M38" i="1"/>
  <c r="L38" i="1"/>
  <c r="K38" i="1"/>
  <c r="J38" i="1"/>
  <c r="I38" i="1"/>
  <c r="H38" i="1"/>
  <c r="G38" i="1"/>
  <c r="G45" i="1" s="1"/>
  <c r="F38" i="1"/>
  <c r="F45" i="1" s="1"/>
  <c r="E38" i="1"/>
  <c r="E40" i="1" s="1"/>
  <c r="D38" i="1"/>
  <c r="C38" i="1"/>
  <c r="C40" i="1" s="1"/>
  <c r="H31" i="1"/>
  <c r="T28" i="1"/>
  <c r="L28" i="1"/>
  <c r="T27" i="1"/>
  <c r="L27" i="1"/>
  <c r="C27" i="1"/>
  <c r="T26" i="1"/>
  <c r="L26" i="1"/>
  <c r="T25" i="1"/>
  <c r="L25" i="1"/>
  <c r="T23" i="1"/>
  <c r="I19" i="1"/>
  <c r="I18" i="1"/>
  <c r="I16" i="1"/>
  <c r="I14" i="1"/>
  <c r="T12" i="1"/>
  <c r="I11" i="1"/>
  <c r="I13" i="1" s="1"/>
  <c r="T10" i="1"/>
  <c r="J10" i="1"/>
  <c r="T9" i="1"/>
  <c r="I9" i="1"/>
  <c r="T7" i="1"/>
  <c r="J6" i="1"/>
  <c r="J12" i="1" s="1"/>
  <c r="J14" i="1" s="1"/>
  <c r="E43" i="1" s="1"/>
  <c r="J5" i="1"/>
  <c r="E68" i="1" l="1"/>
  <c r="E69" i="1" s="1"/>
  <c r="E72" i="1"/>
  <c r="E73" i="1" s="1"/>
  <c r="C87" i="1"/>
  <c r="O87" i="1" s="1"/>
  <c r="O86" i="1"/>
  <c r="C70" i="1"/>
  <c r="C68" i="1"/>
  <c r="C92" i="1"/>
  <c r="K92" i="1"/>
  <c r="C57" i="1"/>
  <c r="O57" i="1" s="1"/>
  <c r="O55" i="1"/>
  <c r="O88" i="1"/>
  <c r="V88" i="1" s="1"/>
  <c r="H74" i="1"/>
  <c r="L74" i="1"/>
  <c r="G74" i="1"/>
  <c r="N74" i="1"/>
  <c r="F74" i="1"/>
  <c r="D74" i="1"/>
  <c r="M74" i="1"/>
  <c r="E74" i="1"/>
  <c r="K74" i="1"/>
  <c r="C74" i="1"/>
  <c r="J74" i="1"/>
  <c r="D40" i="1"/>
  <c r="C72" i="1"/>
  <c r="J102" i="1"/>
  <c r="O102" i="1" s="1"/>
  <c r="O100" i="1"/>
  <c r="O115" i="1"/>
  <c r="H42" i="1"/>
  <c r="G42" i="1"/>
  <c r="N42" i="1"/>
  <c r="F42" i="1"/>
  <c r="D42" i="1"/>
  <c r="M42" i="1"/>
  <c r="E42" i="1"/>
  <c r="E46" i="1" s="1"/>
  <c r="E59" i="1" s="1"/>
  <c r="L42" i="1"/>
  <c r="K42" i="1"/>
  <c r="C42" i="1"/>
  <c r="F39" i="1"/>
  <c r="J42" i="1"/>
  <c r="C65" i="1"/>
  <c r="O64" i="1"/>
  <c r="L23" i="1"/>
  <c r="K65" i="1"/>
  <c r="G92" i="1"/>
  <c r="O82" i="1"/>
  <c r="O89" i="1"/>
  <c r="D65" i="1"/>
  <c r="L65" i="1"/>
  <c r="J67" i="1"/>
  <c r="I74" i="1"/>
  <c r="H92" i="1"/>
  <c r="D43" i="1"/>
  <c r="F43" i="1"/>
  <c r="O54" i="1"/>
  <c r="O67" i="1"/>
  <c r="T24" i="1"/>
  <c r="T29" i="1" s="1"/>
  <c r="E70" i="1"/>
  <c r="E71" i="1" s="1"/>
  <c r="I92" i="1"/>
  <c r="J106" i="1"/>
  <c r="K106" i="1"/>
  <c r="J45" i="1"/>
  <c r="O45" i="1" s="1"/>
  <c r="H65" i="1"/>
  <c r="L106" i="1"/>
  <c r="E83" i="1"/>
  <c r="E93" i="1" s="1"/>
  <c r="E94" i="1" s="1"/>
  <c r="E45" i="1"/>
  <c r="M45" i="1"/>
  <c r="O66" i="1"/>
  <c r="O106" i="1" l="1"/>
  <c r="T8" i="1"/>
  <c r="C69" i="1"/>
  <c r="L24" i="1"/>
  <c r="O65" i="1"/>
  <c r="D46" i="1"/>
  <c r="D59" i="1" s="1"/>
  <c r="O74" i="1"/>
  <c r="C71" i="1"/>
  <c r="F46" i="1"/>
  <c r="F59" i="1" s="1"/>
  <c r="C73" i="1"/>
  <c r="G39" i="1"/>
  <c r="F40" i="1"/>
  <c r="O92" i="1"/>
  <c r="O42" i="1"/>
  <c r="C46" i="1"/>
  <c r="L29" i="1"/>
  <c r="K30" i="1" s="1"/>
  <c r="K31" i="1" s="1"/>
  <c r="E95" i="1"/>
  <c r="E108" i="1"/>
  <c r="E112" i="1" s="1"/>
  <c r="E116" i="1" s="1"/>
  <c r="D70" i="1"/>
  <c r="D71" i="1" s="1"/>
  <c r="D68" i="1"/>
  <c r="D72" i="1"/>
  <c r="D73" i="1" s="1"/>
  <c r="H39" i="1" l="1"/>
  <c r="G43" i="1"/>
  <c r="G40" i="1"/>
  <c r="D108" i="1"/>
  <c r="D112" i="1" s="1"/>
  <c r="D116" i="1" s="1"/>
  <c r="E96" i="1"/>
  <c r="E118" i="1"/>
  <c r="E125" i="1" s="1"/>
  <c r="D69" i="1"/>
  <c r="D83" i="1"/>
  <c r="D93" i="1" s="1"/>
  <c r="D94" i="1" s="1"/>
  <c r="C59" i="1"/>
  <c r="F108" i="1"/>
  <c r="F112" i="1" s="1"/>
  <c r="F116" i="1" s="1"/>
  <c r="C83" i="1"/>
  <c r="F68" i="1"/>
  <c r="F72" i="1"/>
  <c r="F70" i="1"/>
  <c r="F71" i="1" s="1"/>
  <c r="C108" i="1" l="1"/>
  <c r="D95" i="1"/>
  <c r="F69" i="1"/>
  <c r="F83" i="1" s="1"/>
  <c r="G46" i="1"/>
  <c r="F73" i="1"/>
  <c r="G72" i="1"/>
  <c r="G73" i="1" s="1"/>
  <c r="G70" i="1"/>
  <c r="G68" i="1"/>
  <c r="C93" i="1"/>
  <c r="C95" i="1" s="1"/>
  <c r="I39" i="1"/>
  <c r="H43" i="1"/>
  <c r="H46" i="1" s="1"/>
  <c r="H59" i="1" s="1"/>
  <c r="H40" i="1"/>
  <c r="F93" i="1" l="1"/>
  <c r="C96" i="1"/>
  <c r="J39" i="1"/>
  <c r="I43" i="1"/>
  <c r="I40" i="1"/>
  <c r="G59" i="1"/>
  <c r="G71" i="1"/>
  <c r="C94" i="1"/>
  <c r="G69" i="1"/>
  <c r="G83" i="1"/>
  <c r="G93" i="1" s="1"/>
  <c r="G94" i="1" s="1"/>
  <c r="D96" i="1"/>
  <c r="D118" i="1"/>
  <c r="D125" i="1" s="1"/>
  <c r="H72" i="1"/>
  <c r="H73" i="1" s="1"/>
  <c r="H70" i="1"/>
  <c r="H71" i="1" s="1"/>
  <c r="H68" i="1"/>
  <c r="H108" i="1"/>
  <c r="H112" i="1" s="1"/>
  <c r="H116" i="1" s="1"/>
  <c r="C112" i="1"/>
  <c r="H69" i="1" l="1"/>
  <c r="H83" i="1"/>
  <c r="H93" i="1" s="1"/>
  <c r="I46" i="1"/>
  <c r="K39" i="1"/>
  <c r="J40" i="1"/>
  <c r="J43" i="1"/>
  <c r="J46" i="1" s="1"/>
  <c r="J59" i="1" s="1"/>
  <c r="I72" i="1"/>
  <c r="I70" i="1"/>
  <c r="I71" i="1" s="1"/>
  <c r="I68" i="1"/>
  <c r="C116" i="1"/>
  <c r="G108" i="1"/>
  <c r="G95" i="1"/>
  <c r="F94" i="1"/>
  <c r="F95" i="1"/>
  <c r="J108" i="1" l="1"/>
  <c r="J112" i="1" s="1"/>
  <c r="J116" i="1" s="1"/>
  <c r="J72" i="1"/>
  <c r="J73" i="1" s="1"/>
  <c r="J68" i="1"/>
  <c r="J70" i="1"/>
  <c r="J71" i="1" s="1"/>
  <c r="F118" i="1"/>
  <c r="F125" i="1" s="1"/>
  <c r="F96" i="1"/>
  <c r="L39" i="1"/>
  <c r="K40" i="1"/>
  <c r="K43" i="1"/>
  <c r="K46" i="1" s="1"/>
  <c r="K59" i="1" s="1"/>
  <c r="G112" i="1"/>
  <c r="I59" i="1"/>
  <c r="C118" i="1"/>
  <c r="G96" i="1"/>
  <c r="I69" i="1"/>
  <c r="I83" i="1"/>
  <c r="H94" i="1"/>
  <c r="H95" i="1"/>
  <c r="I73" i="1"/>
  <c r="K108" i="1" l="1"/>
  <c r="K112" i="1" s="1"/>
  <c r="K116" i="1" s="1"/>
  <c r="J69" i="1"/>
  <c r="J83" i="1" s="1"/>
  <c r="I93" i="1"/>
  <c r="I95" i="1" s="1"/>
  <c r="C125" i="1"/>
  <c r="K70" i="1"/>
  <c r="K71" i="1" s="1"/>
  <c r="K68" i="1"/>
  <c r="K72" i="1"/>
  <c r="M39" i="1"/>
  <c r="L40" i="1"/>
  <c r="L43" i="1"/>
  <c r="L46" i="1" s="1"/>
  <c r="G116" i="1"/>
  <c r="H96" i="1"/>
  <c r="H118" i="1"/>
  <c r="H125" i="1" s="1"/>
  <c r="I108" i="1"/>
  <c r="J93" i="1" l="1"/>
  <c r="I96" i="1"/>
  <c r="L59" i="1"/>
  <c r="K69" i="1"/>
  <c r="K83" i="1" s="1"/>
  <c r="K93" i="1" s="1"/>
  <c r="I94" i="1"/>
  <c r="I112" i="1"/>
  <c r="L70" i="1"/>
  <c r="L71" i="1" s="1"/>
  <c r="L68" i="1"/>
  <c r="L72" i="1"/>
  <c r="L73" i="1" s="1"/>
  <c r="N39" i="1"/>
  <c r="M43" i="1"/>
  <c r="M46" i="1" s="1"/>
  <c r="M59" i="1" s="1"/>
  <c r="M40" i="1"/>
  <c r="K73" i="1"/>
  <c r="G118" i="1"/>
  <c r="K94" i="1" l="1"/>
  <c r="K95" i="1"/>
  <c r="L108" i="1"/>
  <c r="I116" i="1"/>
  <c r="L69" i="1"/>
  <c r="L83" i="1" s="1"/>
  <c r="L93" i="1" s="1"/>
  <c r="M68" i="1"/>
  <c r="M72" i="1"/>
  <c r="M73" i="1" s="1"/>
  <c r="M70" i="1"/>
  <c r="M71" i="1" s="1"/>
  <c r="M108" i="1"/>
  <c r="M112" i="1" s="1"/>
  <c r="M116" i="1" s="1"/>
  <c r="G125" i="1"/>
  <c r="N43" i="1"/>
  <c r="N40" i="1"/>
  <c r="J94" i="1"/>
  <c r="J95" i="1"/>
  <c r="L94" i="1" l="1"/>
  <c r="L95" i="1"/>
  <c r="J118" i="1"/>
  <c r="J125" i="1" s="1"/>
  <c r="J96" i="1"/>
  <c r="L112" i="1"/>
  <c r="N68" i="1"/>
  <c r="N72" i="1"/>
  <c r="N70" i="1"/>
  <c r="O40" i="1"/>
  <c r="T13" i="1" s="1"/>
  <c r="T15" i="1" s="1"/>
  <c r="T16" i="1" s="1"/>
  <c r="T17" i="1" s="1"/>
  <c r="M69" i="1"/>
  <c r="M83" i="1"/>
  <c r="M93" i="1" s="1"/>
  <c r="I118" i="1"/>
  <c r="N46" i="1"/>
  <c r="O43" i="1"/>
  <c r="K96" i="1"/>
  <c r="K118" i="1"/>
  <c r="K125" i="1" s="1"/>
  <c r="L116" i="1" l="1"/>
  <c r="N71" i="1"/>
  <c r="O71" i="1" s="1"/>
  <c r="O70" i="1"/>
  <c r="M94" i="1"/>
  <c r="M95" i="1"/>
  <c r="L96" i="1"/>
  <c r="L118" i="1"/>
  <c r="L125" i="1" s="1"/>
  <c r="I125" i="1"/>
  <c r="N73" i="1"/>
  <c r="O73" i="1" s="1"/>
  <c r="O72" i="1"/>
  <c r="N59" i="1"/>
  <c r="O46" i="1"/>
  <c r="N69" i="1"/>
  <c r="O69" i="1" s="1"/>
  <c r="N83" i="1"/>
  <c r="O68" i="1"/>
  <c r="M96" i="1" l="1"/>
  <c r="M118" i="1"/>
  <c r="M125" i="1" s="1"/>
  <c r="N108" i="1"/>
  <c r="O59" i="1"/>
  <c r="N93" i="1"/>
  <c r="N95" i="1" s="1"/>
  <c r="O83" i="1"/>
  <c r="N96" i="1" l="1"/>
  <c r="O95" i="1"/>
  <c r="O96" i="1" s="1"/>
  <c r="N94" i="1"/>
  <c r="O93" i="1"/>
  <c r="N112" i="1"/>
  <c r="O108" i="1"/>
  <c r="N116" i="1" l="1"/>
  <c r="O112" i="1"/>
  <c r="O116" i="1" l="1"/>
  <c r="N118" i="1"/>
  <c r="N125" i="1" l="1"/>
  <c r="O125" i="1" s="1"/>
  <c r="C34" i="1" s="1"/>
  <c r="O118" i="1"/>
</calcChain>
</file>

<file path=xl/sharedStrings.xml><?xml version="1.0" encoding="utf-8"?>
<sst xmlns="http://schemas.openxmlformats.org/spreadsheetml/2006/main" count="170" uniqueCount="147">
  <si>
    <t>NaviGuide Proforma Jan-Dec 2023</t>
  </si>
  <si>
    <t>Assumptions</t>
  </si>
  <si>
    <t>B2B Revenue for 1 Client: First 1/2 month and First full month</t>
  </si>
  <si>
    <t>First Month</t>
  </si>
  <si>
    <t>After First Month</t>
  </si>
  <si>
    <t>UCH Management Fee</t>
  </si>
  <si>
    <t>Client Start-up Fee</t>
  </si>
  <si>
    <t>Employee Benefits as a % of total salary</t>
  </si>
  <si>
    <t># of Clients</t>
  </si>
  <si>
    <t>Customer Acquisition Cost</t>
  </si>
  <si>
    <t># of car leases</t>
  </si>
  <si>
    <t># of employees</t>
  </si>
  <si>
    <t>Car lease amount</t>
  </si>
  <si>
    <t>% of workforce in Target Market 45-65+</t>
  </si>
  <si>
    <t>Marketing, Advertising</t>
  </si>
  <si>
    <t>Gas per month per car</t>
  </si>
  <si>
    <t>Utilization of Target Market per employer</t>
  </si>
  <si>
    <t>Sales/BD Salary &amp; Benfits + Commission</t>
  </si>
  <si>
    <t>Insurance per month per car</t>
  </si>
  <si>
    <t>Est. # of Employees Using Naviguide/Client/Month</t>
  </si>
  <si>
    <t>Relationship Manager</t>
  </si>
  <si>
    <t># of service coordinators in the field</t>
  </si>
  <si>
    <t>Employee Fee/month</t>
  </si>
  <si>
    <t>Director of Sales &amp; Marketing</t>
  </si>
  <si>
    <t>monthly cell phone cost per phone</t>
  </si>
  <si>
    <t xml:space="preserve">New Client Fee First 1/2 Month </t>
  </si>
  <si>
    <t>Selling Costs: Travel/Meals/Cell Phone/Computer/Tablet</t>
  </si>
  <si>
    <t>Annual marketing spend</t>
  </si>
  <si>
    <t>Client Fee Full Month</t>
  </si>
  <si>
    <t>Misc.</t>
  </si>
  <si>
    <t>Average annual increase for FTE</t>
  </si>
  <si>
    <t>Total Revenue 1 Client First Month</t>
  </si>
  <si>
    <t>B2B # of Clients/Year</t>
  </si>
  <si>
    <t>New website fee per employer</t>
  </si>
  <si>
    <t>Total Revenue 1 Client After First Month</t>
  </si>
  <si>
    <t>D2C # of Clients/Year</t>
  </si>
  <si>
    <t># of B2B clients</t>
  </si>
  <si>
    <t># of clients/FTE</t>
  </si>
  <si>
    <t>Total # of Clients/Year</t>
  </si>
  <si>
    <t>(1.0) FTE Lead NaviGuide Service Coor - Columbus - hourly rate</t>
  </si>
  <si>
    <t># of New FTE/PRN SC/Client</t>
  </si>
  <si>
    <t>CAC/Year</t>
  </si>
  <si>
    <t>(1.0) FTE Lead NaviGuide Service Coor- Dayton - hourly rate</t>
  </si>
  <si>
    <t>PRN Contingency/year</t>
  </si>
  <si>
    <t>CAC/Month</t>
  </si>
  <si>
    <t>(0.8) FTE NaviGuide (in office) Lead (Sydney) - hourly rate</t>
  </si>
  <si>
    <t>PRN Contingency/month</t>
  </si>
  <si>
    <t>15 companies</t>
  </si>
  <si>
    <t>(0.3) FTE NaviGuide (in office) Director (Kim Yoder) - hourly rate</t>
  </si>
  <si>
    <t>PRN Contingency/month/client</t>
  </si>
  <si>
    <t>Per Month</t>
  </si>
  <si>
    <t>Annualized FY 2023</t>
  </si>
  <si>
    <t>FTE PRN Service Coordinators/Month</t>
  </si>
  <si>
    <t>New Website fee/Client</t>
  </si>
  <si>
    <t>Employees on Service</t>
  </si>
  <si>
    <t># of PRN SCs</t>
  </si>
  <si>
    <t>Per Employee Per Month</t>
  </si>
  <si>
    <t>(1.0) FTE NaviGuide Employee Benefit Specialist - hourly rate</t>
  </si>
  <si>
    <t>2023 D2C Revenue</t>
  </si>
  <si>
    <t>2023 D2C Salary Costs</t>
  </si>
  <si>
    <t>FTE # of hours/month</t>
  </si>
  <si>
    <t>Monthly fee</t>
  </si>
  <si>
    <t>FTE Lead NaviGuide SC - Columbus per Hour</t>
  </si>
  <si>
    <t>FTE Lead NaviGuide SC - Dayton</t>
  </si>
  <si>
    <t>B2B - 1000 employees = 2 active clients</t>
  </si>
  <si>
    <t># of Clients/Jan</t>
  </si>
  <si>
    <t>Employee Benefits (25% of total salary)</t>
  </si>
  <si>
    <t>B2B - 10,000 employees = 20 active clients</t>
  </si>
  <si>
    <t># of Clients added each month</t>
  </si>
  <si>
    <t>Automobile Lease</t>
  </si>
  <si>
    <t>B2B - FTE:Client ratio - 1 FTE SC:20 Clients</t>
  </si>
  <si>
    <t># of Clients stay for 3 months</t>
  </si>
  <si>
    <t>Gas</t>
  </si>
  <si>
    <t>B2B Client Manager/Month</t>
  </si>
  <si>
    <t>Avg # of Monthly Clients</t>
  </si>
  <si>
    <t>Insurance</t>
  </si>
  <si>
    <t>Assumed # of Clients/SC</t>
  </si>
  <si>
    <t>SC Cell Phone</t>
  </si>
  <si>
    <t># of FTE SCs</t>
  </si>
  <si>
    <t xml:space="preserve">Total </t>
  </si>
  <si>
    <t>Total</t>
  </si>
  <si>
    <t>B2B # of New Clients/Month</t>
  </si>
  <si>
    <t>Assumption: 3 months utilization</t>
  </si>
  <si>
    <t>Total Expected D2C Salary Costs/Month =</t>
  </si>
  <si>
    <t># of Existing Clients at Start of 2023</t>
  </si>
  <si>
    <t>Total Expected D2C Rev/Month</t>
  </si>
  <si>
    <t>D2C Rev to Cost Differential</t>
  </si>
  <si>
    <t>Net Income</t>
  </si>
  <si>
    <t>Total FY 23</t>
  </si>
  <si>
    <t>B2B Revenue -2023</t>
  </si>
  <si>
    <t># of New Clients/month</t>
  </si>
  <si>
    <t># of Existing Clients/month</t>
  </si>
  <si>
    <t># of Total Clients/month</t>
  </si>
  <si>
    <t>Est. # Client Employees Served/month</t>
  </si>
  <si>
    <t>Revenue from New Clients/month</t>
  </si>
  <si>
    <t>Revenue from Existing Clients/month</t>
  </si>
  <si>
    <t>Revenue from Total # of Clients/month</t>
  </si>
  <si>
    <t>New Client Website fee</t>
  </si>
  <si>
    <t>Total B2B Revenue-2023</t>
  </si>
  <si>
    <t>B2B Revenue - 2022</t>
  </si>
  <si>
    <t>Total B2B Revenue - 2022</t>
  </si>
  <si>
    <t>D2C Revenue - 2023</t>
  </si>
  <si>
    <t># of Clients Who Leave</t>
  </si>
  <si>
    <t>UCH/OHI/Others</t>
  </si>
  <si>
    <t>Total D2C Revenue</t>
  </si>
  <si>
    <t>Gross Revenue</t>
  </si>
  <si>
    <t>Direct Costs</t>
  </si>
  <si>
    <t>Direct Service Costs</t>
  </si>
  <si>
    <t>Fixed Costs</t>
  </si>
  <si>
    <t>FTE D2C Lead NaviGuide SC - Columbus</t>
  </si>
  <si>
    <t>FTE D2C Lead NaviGuide SC - Dayton</t>
  </si>
  <si>
    <t xml:space="preserve">1st FTE B2B Lead NaviGuide SC - </t>
  </si>
  <si>
    <t xml:space="preserve">2nd FTE B2B Lead NaviGuide SC - </t>
  </si>
  <si>
    <t xml:space="preserve">3rd FTE B2B Lead NaviGuide SC - </t>
  </si>
  <si>
    <t>PRN Contingency Cost/month @ 50% of FTE PRN</t>
  </si>
  <si>
    <t>Variable Costs (incremental based on # of clients)</t>
  </si>
  <si>
    <t>Automobile Costs</t>
  </si>
  <si>
    <t>Lease</t>
  </si>
  <si>
    <t>Collateral Costs</t>
  </si>
  <si>
    <t>AASC Online ($500/yr/region) + Supplemental Programs</t>
  </si>
  <si>
    <t>Total Direct Service Costs</t>
  </si>
  <si>
    <t>Indirect Service Costs</t>
  </si>
  <si>
    <t>FTE NaviGuide (in office) Lead (Sydney)</t>
  </si>
  <si>
    <t>FTE NaviGuide (in office) Director (Kim Yoder)</t>
  </si>
  <si>
    <t>Total Indirect Service Costs</t>
  </si>
  <si>
    <t>Total Direct and Indirect Service Costs</t>
  </si>
  <si>
    <t>Total Direct and Indirect Service Costs as % of Rev</t>
  </si>
  <si>
    <t>Gross Profit</t>
  </si>
  <si>
    <t>Gross Profit Margin</t>
  </si>
  <si>
    <t>SG&amp;A</t>
  </si>
  <si>
    <t>Sales/BD</t>
  </si>
  <si>
    <t>FTE Business Development Employee Benefit Specialist</t>
  </si>
  <si>
    <t>Sale Commission Rate</t>
  </si>
  <si>
    <t>Marketing</t>
  </si>
  <si>
    <t>B2B Relationship Manager</t>
  </si>
  <si>
    <t>Total Sales &amp; Marketing</t>
  </si>
  <si>
    <t>General</t>
  </si>
  <si>
    <t>Management Fee (5% of Gross Revenue)</t>
  </si>
  <si>
    <t>Building #1 Rent/Cost</t>
  </si>
  <si>
    <t>OHI Call Center Access Fee</t>
  </si>
  <si>
    <t>Supplies/Brochures/Other (Estimate)</t>
  </si>
  <si>
    <t>Total General</t>
  </si>
  <si>
    <t>Administration</t>
  </si>
  <si>
    <t>Total Administration</t>
  </si>
  <si>
    <t>Total SG&amp;A</t>
  </si>
  <si>
    <t>Net Operating Income - EBITDA</t>
  </si>
  <si>
    <t>Other Income/Donations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</si>
</sst>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(Body)"/>
    </font>
    <font>
      <b/>
      <sz val="16"/>
      <color theme="1"/>
      <name val="Calibri"/>
      <family val="2"/>
      <scheme val="minor"/>
    </font>
    <font>
      <sz val="12"/>
      <color theme="1"/>
      <name val="Calibri (Body)"/>
    </font>
    <font>
      <sz val="11"/>
      <color rgb="FF000000"/>
      <name val="Calibri"/>
      <family val="2"/>
    </font>
    <font>
      <sz val="11"/>
      <color rgb="FF000000"/>
      <name val="Calibri (Body)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09">
    <xf numFmtId="0" fontId="0" fillId="0" borderId="0" xfId="0"/>
    <xf numFmtId="0" fontId="1" fillId="0" borderId="0" xfId="3"/>
    <xf numFmtId="0" fontId="3" fillId="0" borderId="0" xfId="3" applyFont="1" applyAlignment="1">
      <alignment vertical="center"/>
    </xf>
    <xf numFmtId="0" fontId="5" fillId="2" borderId="3" xfId="3" applyFont="1" applyFill="1" applyBorder="1" applyAlignment="1">
      <alignment horizontal="center" vertical="center"/>
    </xf>
    <xf numFmtId="0" fontId="1" fillId="2" borderId="4" xfId="3" applyFill="1" applyBorder="1"/>
    <xf numFmtId="0" fontId="6" fillId="2" borderId="3" xfId="3" applyFont="1" applyFill="1" applyBorder="1" applyAlignment="1">
      <alignment horizontal="left" vertical="center"/>
    </xf>
    <xf numFmtId="0" fontId="1" fillId="2" borderId="3" xfId="3" applyFill="1" applyBorder="1"/>
    <xf numFmtId="0" fontId="1" fillId="2" borderId="0" xfId="3" applyFill="1"/>
    <xf numFmtId="0" fontId="1" fillId="2" borderId="0" xfId="3" applyFill="1" applyAlignment="1">
      <alignment horizontal="right"/>
    </xf>
    <xf numFmtId="0" fontId="1" fillId="2" borderId="3" xfId="3" applyFill="1" applyBorder="1" applyAlignment="1">
      <alignment horizontal="right" vertical="center"/>
    </xf>
    <xf numFmtId="9" fontId="7" fillId="2" borderId="4" xfId="3" applyNumberFormat="1" applyFont="1" applyFill="1" applyBorder="1" applyAlignment="1">
      <alignment horizontal="center"/>
    </xf>
    <xf numFmtId="164" fontId="1" fillId="2" borderId="0" xfId="1" applyNumberFormat="1" applyFont="1" applyFill="1" applyBorder="1"/>
    <xf numFmtId="44" fontId="1" fillId="2" borderId="4" xfId="1" applyFont="1" applyFill="1" applyBorder="1"/>
    <xf numFmtId="0" fontId="1" fillId="2" borderId="0" xfId="3" quotePrefix="1" applyFill="1" applyAlignment="1">
      <alignment horizontal="right"/>
    </xf>
    <xf numFmtId="0" fontId="1" fillId="0" borderId="0" xfId="3" applyAlignment="1">
      <alignment horizontal="right"/>
    </xf>
    <xf numFmtId="0" fontId="7" fillId="2" borderId="3" xfId="3" quotePrefix="1" applyFont="1" applyFill="1" applyBorder="1" applyAlignment="1">
      <alignment horizontal="right" vertical="center"/>
    </xf>
    <xf numFmtId="0" fontId="7" fillId="2" borderId="4" xfId="3" applyFont="1" applyFill="1" applyBorder="1" applyAlignment="1">
      <alignment horizontal="center"/>
    </xf>
    <xf numFmtId="0" fontId="1" fillId="2" borderId="8" xfId="3" applyFill="1" applyBorder="1" applyAlignment="1">
      <alignment horizontal="center"/>
    </xf>
    <xf numFmtId="0" fontId="1" fillId="0" borderId="8" xfId="3" applyBorder="1"/>
    <xf numFmtId="0" fontId="5" fillId="0" borderId="8" xfId="0" applyFont="1" applyBorder="1" applyAlignment="1">
      <alignment horizontal="center"/>
    </xf>
    <xf numFmtId="164" fontId="7" fillId="2" borderId="4" xfId="1" applyNumberFormat="1" applyFont="1" applyFill="1" applyBorder="1"/>
    <xf numFmtId="9" fontId="1" fillId="2" borderId="0" xfId="2" applyFont="1" applyFill="1" applyBorder="1"/>
    <xf numFmtId="164" fontId="9" fillId="0" borderId="8" xfId="1" applyNumberFormat="1" applyFont="1" applyBorder="1"/>
    <xf numFmtId="0" fontId="1" fillId="2" borderId="3" xfId="3" applyFill="1" applyBorder="1" applyAlignment="1">
      <alignment horizontal="right"/>
    </xf>
    <xf numFmtId="9" fontId="1" fillId="2" borderId="0" xfId="3" applyNumberFormat="1" applyFill="1"/>
    <xf numFmtId="0" fontId="9" fillId="0" borderId="1" xfId="3" applyFont="1" applyBorder="1"/>
    <xf numFmtId="0" fontId="9" fillId="0" borderId="9" xfId="3" applyFont="1" applyBorder="1"/>
    <xf numFmtId="0" fontId="9" fillId="0" borderId="2" xfId="3" applyFont="1" applyBorder="1"/>
    <xf numFmtId="1" fontId="1" fillId="2" borderId="0" xfId="3" applyNumberFormat="1" applyFill="1"/>
    <xf numFmtId="165" fontId="0" fillId="0" borderId="0" xfId="0" applyNumberFormat="1"/>
    <xf numFmtId="0" fontId="1" fillId="2" borderId="3" xfId="3" quotePrefix="1" applyFill="1" applyBorder="1" applyAlignment="1">
      <alignment horizontal="right"/>
    </xf>
    <xf numFmtId="0" fontId="3" fillId="2" borderId="3" xfId="3" applyFont="1" applyFill="1" applyBorder="1"/>
    <xf numFmtId="0" fontId="3" fillId="2" borderId="0" xfId="3" applyFont="1" applyFill="1"/>
    <xf numFmtId="0" fontId="3" fillId="2" borderId="0" xfId="3" quotePrefix="1" applyFont="1" applyFill="1" applyAlignment="1">
      <alignment horizontal="right"/>
    </xf>
    <xf numFmtId="44" fontId="2" fillId="4" borderId="10" xfId="1" applyFont="1" applyFill="1" applyBorder="1"/>
    <xf numFmtId="44" fontId="1" fillId="2" borderId="4" xfId="3" applyNumberFormat="1" applyFill="1" applyBorder="1"/>
    <xf numFmtId="164" fontId="6" fillId="0" borderId="8" xfId="1" applyNumberFormat="1" applyFont="1" applyBorder="1"/>
    <xf numFmtId="10" fontId="0" fillId="0" borderId="0" xfId="2" applyNumberFormat="1" applyFont="1"/>
    <xf numFmtId="44" fontId="1" fillId="2" borderId="0" xfId="1" applyFont="1" applyFill="1" applyBorder="1"/>
    <xf numFmtId="0" fontId="1" fillId="0" borderId="0" xfId="3" applyAlignment="1">
      <alignment horizontal="center"/>
    </xf>
    <xf numFmtId="164" fontId="1" fillId="0" borderId="0" xfId="3" applyNumberFormat="1"/>
    <xf numFmtId="9" fontId="7" fillId="2" borderId="4" xfId="1" applyNumberFormat="1" applyFont="1" applyFill="1" applyBorder="1" applyAlignment="1">
      <alignment horizontal="center"/>
    </xf>
    <xf numFmtId="0" fontId="1" fillId="0" borderId="4" xfId="3" applyBorder="1"/>
    <xf numFmtId="44" fontId="3" fillId="2" borderId="0" xfId="1" applyFont="1" applyFill="1" applyBorder="1"/>
    <xf numFmtId="0" fontId="9" fillId="3" borderId="1" xfId="3" applyFont="1" applyFill="1" applyBorder="1"/>
    <xf numFmtId="0" fontId="9" fillId="3" borderId="9" xfId="3" applyFont="1" applyFill="1" applyBorder="1"/>
    <xf numFmtId="0" fontId="9" fillId="3" borderId="2" xfId="3" applyFont="1" applyFill="1" applyBorder="1"/>
    <xf numFmtId="0" fontId="1" fillId="3" borderId="8" xfId="3" applyFill="1" applyBorder="1"/>
    <xf numFmtId="0" fontId="6" fillId="3" borderId="8" xfId="1" applyNumberFormat="1" applyFont="1" applyFill="1" applyBorder="1"/>
    <xf numFmtId="10" fontId="0" fillId="0" borderId="4" xfId="2" applyNumberFormat="1" applyFont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44" fontId="1" fillId="2" borderId="0" xfId="3" applyNumberFormat="1" applyFill="1"/>
    <xf numFmtId="44" fontId="3" fillId="2" borderId="4" xfId="3" applyNumberFormat="1" applyFont="1" applyFill="1" applyBorder="1"/>
    <xf numFmtId="0" fontId="0" fillId="3" borderId="8" xfId="0" applyFill="1" applyBorder="1"/>
    <xf numFmtId="0" fontId="7" fillId="2" borderId="4" xfId="1" applyNumberFormat="1" applyFont="1" applyFill="1" applyBorder="1" applyAlignment="1">
      <alignment horizontal="center"/>
    </xf>
    <xf numFmtId="0" fontId="1" fillId="3" borderId="1" xfId="3" applyFill="1" applyBorder="1"/>
    <xf numFmtId="0" fontId="1" fillId="3" borderId="9" xfId="3" applyFill="1" applyBorder="1"/>
    <xf numFmtId="0" fontId="1" fillId="3" borderId="2" xfId="3" applyFill="1" applyBorder="1"/>
    <xf numFmtId="0" fontId="6" fillId="3" borderId="8" xfId="3" applyFont="1" applyFill="1" applyBorder="1"/>
    <xf numFmtId="0" fontId="10" fillId="2" borderId="3" xfId="0" applyFont="1" applyFill="1" applyBorder="1" applyAlignment="1">
      <alignment horizontal="right"/>
    </xf>
    <xf numFmtId="164" fontId="11" fillId="2" borderId="4" xfId="1" applyNumberFormat="1" applyFont="1" applyFill="1" applyBorder="1"/>
    <xf numFmtId="9" fontId="1" fillId="0" borderId="0" xfId="2" applyFont="1"/>
    <xf numFmtId="0" fontId="0" fillId="2" borderId="0" xfId="2" applyNumberFormat="1" applyFont="1" applyFill="1" applyBorder="1"/>
    <xf numFmtId="0" fontId="0" fillId="2" borderId="4" xfId="2" applyNumberFormat="1" applyFont="1" applyFill="1" applyBorder="1"/>
    <xf numFmtId="0" fontId="1" fillId="5" borderId="8" xfId="3" applyFill="1" applyBorder="1"/>
    <xf numFmtId="164" fontId="5" fillId="5" borderId="8" xfId="3" applyNumberFormat="1" applyFont="1" applyFill="1" applyBorder="1"/>
    <xf numFmtId="164" fontId="1" fillId="2" borderId="0" xfId="3" applyNumberFormat="1" applyFill="1"/>
    <xf numFmtId="164" fontId="0" fillId="0" borderId="0" xfId="1" applyNumberFormat="1" applyFont="1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8" xfId="0" applyFont="1" applyBorder="1" applyAlignment="1">
      <alignment horizontal="center"/>
    </xf>
    <xf numFmtId="44" fontId="0" fillId="0" borderId="0" xfId="1" applyFont="1"/>
    <xf numFmtId="10" fontId="0" fillId="2" borderId="11" xfId="2" applyNumberFormat="1" applyFont="1" applyFill="1" applyBorder="1"/>
    <xf numFmtId="10" fontId="0" fillId="2" borderId="12" xfId="2" applyNumberFormat="1" applyFont="1" applyFill="1" applyBorder="1"/>
    <xf numFmtId="0" fontId="1" fillId="2" borderId="12" xfId="3" quotePrefix="1" applyFill="1" applyBorder="1" applyAlignment="1">
      <alignment horizontal="right"/>
    </xf>
    <xf numFmtId="164" fontId="1" fillId="2" borderId="12" xfId="1" applyNumberFormat="1" applyFont="1" applyFill="1" applyBorder="1"/>
    <xf numFmtId="0" fontId="1" fillId="2" borderId="13" xfId="3" applyFill="1" applyBorder="1"/>
    <xf numFmtId="0" fontId="3" fillId="0" borderId="8" xfId="0" applyFont="1" applyBorder="1" applyAlignment="1">
      <alignment horizontal="right"/>
    </xf>
    <xf numFmtId="3" fontId="0" fillId="0" borderId="8" xfId="0" applyNumberFormat="1" applyBorder="1"/>
    <xf numFmtId="0" fontId="10" fillId="2" borderId="3" xfId="0" quotePrefix="1" applyFont="1" applyFill="1" applyBorder="1" applyAlignment="1">
      <alignment horizontal="right"/>
    </xf>
    <xf numFmtId="0" fontId="11" fillId="2" borderId="4" xfId="1" applyNumberFormat="1" applyFont="1" applyFill="1" applyBorder="1" applyAlignment="1">
      <alignment horizontal="center"/>
    </xf>
    <xf numFmtId="0" fontId="0" fillId="0" borderId="14" xfId="0" applyBorder="1" applyAlignment="1">
      <alignment horizontal="right"/>
    </xf>
    <xf numFmtId="165" fontId="0" fillId="0" borderId="14" xfId="0" applyNumberFormat="1" applyBorder="1"/>
    <xf numFmtId="0" fontId="3" fillId="2" borderId="3" xfId="3" applyFont="1" applyFill="1" applyBorder="1" applyAlignment="1">
      <alignment horizontal="right"/>
    </xf>
    <xf numFmtId="164" fontId="2" fillId="4" borderId="10" xfId="1" applyNumberFormat="1" applyFont="1" applyFill="1" applyBorder="1"/>
    <xf numFmtId="164" fontId="1" fillId="2" borderId="0" xfId="2" applyNumberFormat="1" applyFont="1" applyFill="1" applyBorder="1"/>
    <xf numFmtId="164" fontId="1" fillId="2" borderId="4" xfId="3" applyNumberFormat="1" applyFill="1" applyBorder="1"/>
    <xf numFmtId="0" fontId="1" fillId="2" borderId="3" xfId="3" quotePrefix="1" applyFill="1" applyBorder="1"/>
    <xf numFmtId="164" fontId="1" fillId="2" borderId="4" xfId="2" applyNumberFormat="1" applyFont="1" applyFill="1" applyBorder="1"/>
    <xf numFmtId="0" fontId="7" fillId="2" borderId="4" xfId="1" applyNumberFormat="1" applyFont="1" applyFill="1" applyBorder="1"/>
    <xf numFmtId="0" fontId="1" fillId="2" borderId="0" xfId="2" applyNumberFormat="1" applyFont="1" applyFill="1" applyAlignment="1">
      <alignment horizontal="center"/>
    </xf>
    <xf numFmtId="0" fontId="0" fillId="2" borderId="0" xfId="2" applyNumberFormat="1" applyFont="1" applyFill="1" applyAlignment="1">
      <alignment horizontal="left"/>
    </xf>
    <xf numFmtId="0" fontId="1" fillId="2" borderId="11" xfId="3" applyFill="1" applyBorder="1" applyAlignment="1">
      <alignment horizontal="right"/>
    </xf>
    <xf numFmtId="164" fontId="1" fillId="2" borderId="13" xfId="1" applyNumberFormat="1" applyFont="1" applyFill="1" applyBorder="1"/>
    <xf numFmtId="0" fontId="1" fillId="0" borderId="0" xfId="2" applyNumberFormat="1" applyFont="1" applyFill="1" applyAlignment="1">
      <alignment horizontal="center"/>
    </xf>
    <xf numFmtId="0" fontId="0" fillId="0" borderId="0" xfId="2" applyNumberFormat="1" applyFont="1" applyAlignment="1">
      <alignment horizontal="left"/>
    </xf>
    <xf numFmtId="0" fontId="3" fillId="0" borderId="0" xfId="3" applyFont="1" applyAlignment="1">
      <alignment horizontal="right"/>
    </xf>
    <xf numFmtId="44" fontId="3" fillId="0" borderId="0" xfId="1" applyFont="1" applyFill="1" applyBorder="1"/>
    <xf numFmtId="164" fontId="3" fillId="0" borderId="0" xfId="1" applyNumberFormat="1" applyFont="1" applyFill="1" applyBorder="1"/>
    <xf numFmtId="10" fontId="0" fillId="2" borderId="0" xfId="2" applyNumberFormat="1" applyFont="1" applyFill="1" applyBorder="1" applyAlignment="1">
      <alignment horizontal="right"/>
    </xf>
    <xf numFmtId="0" fontId="3" fillId="0" borderId="0" xfId="3" quotePrefix="1" applyFont="1" applyAlignment="1">
      <alignment horizontal="right"/>
    </xf>
    <xf numFmtId="0" fontId="2" fillId="4" borderId="10" xfId="1" applyNumberFormat="1" applyFont="1" applyFill="1" applyBorder="1" applyAlignment="1">
      <alignment horizontal="center"/>
    </xf>
    <xf numFmtId="0" fontId="1" fillId="2" borderId="11" xfId="3" applyFill="1" applyBorder="1"/>
    <xf numFmtId="0" fontId="1" fillId="2" borderId="12" xfId="3" applyFill="1" applyBorder="1"/>
    <xf numFmtId="0" fontId="3" fillId="5" borderId="1" xfId="3" applyFont="1" applyFill="1" applyBorder="1"/>
    <xf numFmtId="0" fontId="3" fillId="5" borderId="9" xfId="3" applyFont="1" applyFill="1" applyBorder="1"/>
    <xf numFmtId="164" fontId="3" fillId="5" borderId="2" xfId="3" applyNumberFormat="1" applyFont="1" applyFill="1" applyBorder="1"/>
    <xf numFmtId="10" fontId="0" fillId="2" borderId="12" xfId="2" applyNumberFormat="1" applyFont="1" applyFill="1" applyBorder="1" applyAlignment="1"/>
    <xf numFmtId="0" fontId="2" fillId="4" borderId="16" xfId="3" applyFont="1" applyFill="1" applyBorder="1" applyAlignment="1">
      <alignment horizontal="center" vertical="center"/>
    </xf>
    <xf numFmtId="10" fontId="5" fillId="5" borderId="1" xfId="2" applyNumberFormat="1" applyFont="1" applyFill="1" applyBorder="1"/>
    <xf numFmtId="10" fontId="5" fillId="5" borderId="1" xfId="2" applyNumberFormat="1" applyFont="1" applyFill="1" applyBorder="1" applyAlignment="1">
      <alignment horizontal="left"/>
    </xf>
    <xf numFmtId="44" fontId="1" fillId="6" borderId="17" xfId="1" applyFont="1" applyFill="1" applyBorder="1"/>
    <xf numFmtId="10" fontId="5" fillId="7" borderId="18" xfId="2" applyNumberFormat="1" applyFont="1" applyFill="1" applyBorder="1" applyAlignment="1">
      <alignment horizontal="right"/>
    </xf>
    <xf numFmtId="164" fontId="3" fillId="7" borderId="10" xfId="3" applyNumberFormat="1" applyFont="1" applyFill="1" applyBorder="1"/>
    <xf numFmtId="0" fontId="3" fillId="0" borderId="0" xfId="3" applyFont="1" applyAlignment="1">
      <alignment horizontal="center"/>
    </xf>
    <xf numFmtId="0" fontId="1" fillId="8" borderId="0" xfId="2" applyNumberFormat="1" applyFont="1" applyFill="1" applyAlignment="1">
      <alignment horizontal="center"/>
    </xf>
    <xf numFmtId="0" fontId="3" fillId="8" borderId="0" xfId="3" applyFont="1" applyFill="1"/>
    <xf numFmtId="17" fontId="12" fillId="8" borderId="14" xfId="3" applyNumberFormat="1" applyFont="1" applyFill="1" applyBorder="1" applyAlignment="1">
      <alignment horizontal="center"/>
    </xf>
    <xf numFmtId="0" fontId="13" fillId="0" borderId="0" xfId="3" applyFont="1"/>
    <xf numFmtId="0" fontId="3" fillId="0" borderId="0" xfId="3" applyFont="1" applyAlignment="1">
      <alignment horizontal="left"/>
    </xf>
    <xf numFmtId="17" fontId="12" fillId="8" borderId="17" xfId="3" applyNumberFormat="1" applyFont="1" applyFill="1" applyBorder="1" applyAlignment="1">
      <alignment horizontal="center"/>
    </xf>
    <xf numFmtId="0" fontId="1" fillId="0" borderId="0" xfId="3" quotePrefix="1" applyAlignment="1">
      <alignment horizontal="right"/>
    </xf>
    <xf numFmtId="0" fontId="1" fillId="2" borderId="14" xfId="3" applyFill="1" applyBorder="1" applyAlignment="1">
      <alignment horizontal="center"/>
    </xf>
    <xf numFmtId="0" fontId="1" fillId="2" borderId="19" xfId="3" applyFill="1" applyBorder="1" applyAlignment="1">
      <alignment horizontal="center"/>
    </xf>
    <xf numFmtId="0" fontId="3" fillId="2" borderId="14" xfId="3" applyFont="1" applyFill="1" applyBorder="1" applyAlignment="1">
      <alignment horizontal="center"/>
    </xf>
    <xf numFmtId="1" fontId="1" fillId="2" borderId="8" xfId="3" applyNumberFormat="1" applyFill="1" applyBorder="1" applyAlignment="1">
      <alignment horizontal="center"/>
    </xf>
    <xf numFmtId="1" fontId="3" fillId="2" borderId="8" xfId="3" applyNumberFormat="1" applyFont="1" applyFill="1" applyBorder="1" applyAlignment="1">
      <alignment horizontal="center"/>
    </xf>
    <xf numFmtId="0" fontId="1" fillId="0" borderId="0" xfId="3" quotePrefix="1" applyAlignment="1">
      <alignment horizontal="left" indent="2"/>
    </xf>
    <xf numFmtId="164" fontId="1" fillId="8" borderId="0" xfId="3" applyNumberFormat="1" applyFill="1"/>
    <xf numFmtId="164" fontId="3" fillId="0" borderId="0" xfId="3" applyNumberFormat="1" applyFont="1"/>
    <xf numFmtId="0" fontId="1" fillId="0" borderId="0" xfId="3" applyAlignment="1">
      <alignment horizontal="left" indent="2"/>
    </xf>
    <xf numFmtId="164" fontId="1" fillId="8" borderId="0" xfId="1" applyNumberFormat="1" applyFont="1" applyFill="1"/>
    <xf numFmtId="0" fontId="3" fillId="0" borderId="0" xfId="3" applyFont="1" applyAlignment="1">
      <alignment horizontal="left" indent="1"/>
    </xf>
    <xf numFmtId="164" fontId="3" fillId="8" borderId="0" xfId="3" applyNumberFormat="1" applyFont="1" applyFill="1"/>
    <xf numFmtId="0" fontId="1" fillId="0" borderId="0" xfId="3" applyAlignment="1">
      <alignment horizontal="left" indent="1"/>
    </xf>
    <xf numFmtId="0" fontId="1" fillId="2" borderId="5" xfId="3" applyFill="1" applyBorder="1" applyAlignment="1">
      <alignment horizontal="center"/>
    </xf>
    <xf numFmtId="0" fontId="1" fillId="2" borderId="7" xfId="3" applyFill="1" applyBorder="1" applyAlignment="1">
      <alignment horizontal="center"/>
    </xf>
    <xf numFmtId="0" fontId="3" fillId="0" borderId="0" xfId="3" applyFont="1"/>
    <xf numFmtId="0" fontId="1" fillId="2" borderId="3" xfId="3" applyFill="1" applyBorder="1" applyAlignment="1">
      <alignment horizontal="center"/>
    </xf>
    <xf numFmtId="0" fontId="1" fillId="2" borderId="4" xfId="3" applyFill="1" applyBorder="1" applyAlignment="1">
      <alignment horizontal="center"/>
    </xf>
    <xf numFmtId="0" fontId="1" fillId="2" borderId="11" xfId="3" applyFill="1" applyBorder="1" applyAlignment="1">
      <alignment horizontal="center"/>
    </xf>
    <xf numFmtId="0" fontId="1" fillId="2" borderId="17" xfId="3" applyFill="1" applyBorder="1" applyAlignment="1">
      <alignment horizontal="center"/>
    </xf>
    <xf numFmtId="0" fontId="1" fillId="2" borderId="13" xfId="3" applyFill="1" applyBorder="1" applyAlignment="1">
      <alignment horizontal="center"/>
    </xf>
    <xf numFmtId="164" fontId="1" fillId="8" borderId="0" xfId="3" applyNumberFormat="1" applyFill="1" applyAlignment="1">
      <alignment horizontal="center"/>
    </xf>
    <xf numFmtId="0" fontId="1" fillId="0" borderId="0" xfId="3" applyAlignment="1">
      <alignment horizontal="left"/>
    </xf>
    <xf numFmtId="164" fontId="5" fillId="8" borderId="6" xfId="1" applyNumberFormat="1" applyFont="1" applyFill="1" applyBorder="1"/>
    <xf numFmtId="164" fontId="3" fillId="0" borderId="6" xfId="3" applyNumberFormat="1" applyFont="1" applyBorder="1"/>
    <xf numFmtId="0" fontId="1" fillId="8" borderId="0" xfId="3" applyFill="1"/>
    <xf numFmtId="164" fontId="0" fillId="8" borderId="0" xfId="4" applyNumberFormat="1" applyFont="1" applyFill="1"/>
    <xf numFmtId="0" fontId="1" fillId="6" borderId="0" xfId="3" applyFill="1" applyAlignment="1">
      <alignment horizontal="left" indent="2"/>
    </xf>
    <xf numFmtId="0" fontId="1" fillId="6" borderId="0" xfId="3" applyFill="1" applyAlignment="1">
      <alignment horizontal="left" indent="3"/>
    </xf>
    <xf numFmtId="0" fontId="15" fillId="0" borderId="0" xfId="3" applyFont="1"/>
    <xf numFmtId="0" fontId="1" fillId="9" borderId="0" xfId="3" applyFill="1" applyAlignment="1">
      <alignment horizontal="left" indent="2"/>
    </xf>
    <xf numFmtId="164" fontId="0" fillId="9" borderId="0" xfId="1" applyNumberFormat="1" applyFont="1" applyFill="1"/>
    <xf numFmtId="0" fontId="1" fillId="9" borderId="0" xfId="3" applyFill="1" applyAlignment="1">
      <alignment horizontal="left" indent="1"/>
    </xf>
    <xf numFmtId="164" fontId="1" fillId="9" borderId="0" xfId="3" applyNumberFormat="1" applyFill="1"/>
    <xf numFmtId="0" fontId="1" fillId="0" borderId="0" xfId="3" applyAlignment="1">
      <alignment horizontal="left" indent="4"/>
    </xf>
    <xf numFmtId="0" fontId="1" fillId="0" borderId="0" xfId="3" applyAlignment="1">
      <alignment horizontal="left" indent="3"/>
    </xf>
    <xf numFmtId="44" fontId="1" fillId="0" borderId="0" xfId="3" applyNumberFormat="1"/>
    <xf numFmtId="0" fontId="1" fillId="6" borderId="0" xfId="3" applyFill="1" applyAlignment="1">
      <alignment horizontal="left" indent="1"/>
    </xf>
    <xf numFmtId="164" fontId="0" fillId="8" borderId="0" xfId="4" applyNumberFormat="1" applyFont="1" applyFill="1" applyBorder="1"/>
    <xf numFmtId="164" fontId="0" fillId="8" borderId="12" xfId="4" applyNumberFormat="1" applyFont="1" applyFill="1" applyBorder="1"/>
    <xf numFmtId="0" fontId="16" fillId="0" borderId="0" xfId="3" applyFont="1" applyAlignment="1">
      <alignment horizontal="left" indent="2"/>
    </xf>
    <xf numFmtId="9" fontId="16" fillId="8" borderId="0" xfId="2" applyFont="1" applyFill="1" applyBorder="1" applyAlignment="1"/>
    <xf numFmtId="164" fontId="3" fillId="0" borderId="9" xfId="3" applyNumberFormat="1" applyFont="1" applyBorder="1"/>
    <xf numFmtId="164" fontId="0" fillId="8" borderId="9" xfId="4" applyNumberFormat="1" applyFont="1" applyFill="1" applyBorder="1"/>
    <xf numFmtId="164" fontId="1" fillId="0" borderId="9" xfId="3" applyNumberFormat="1" applyBorder="1"/>
    <xf numFmtId="9" fontId="17" fillId="8" borderId="0" xfId="5" applyFont="1" applyFill="1" applyAlignment="1"/>
    <xf numFmtId="9" fontId="17" fillId="0" borderId="0" xfId="2" applyFont="1" applyAlignment="1"/>
    <xf numFmtId="0" fontId="18" fillId="0" borderId="0" xfId="3" applyFont="1"/>
    <xf numFmtId="44" fontId="1" fillId="8" borderId="0" xfId="1" applyFont="1" applyFill="1"/>
    <xf numFmtId="164" fontId="0" fillId="8" borderId="0" xfId="1" applyNumberFormat="1" applyFont="1" applyFill="1"/>
    <xf numFmtId="164" fontId="0" fillId="8" borderId="0" xfId="1" applyNumberFormat="1" applyFont="1" applyFill="1" applyBorder="1"/>
    <xf numFmtId="164" fontId="0" fillId="0" borderId="0" xfId="1" applyNumberFormat="1" applyFont="1" applyFill="1"/>
    <xf numFmtId="0" fontId="3" fillId="0" borderId="0" xfId="3" applyFont="1" applyAlignment="1">
      <alignment horizontal="left" indent="3"/>
    </xf>
    <xf numFmtId="164" fontId="0" fillId="8" borderId="12" xfId="1" applyNumberFormat="1" applyFont="1" applyFill="1" applyBorder="1"/>
    <xf numFmtId="164" fontId="1" fillId="0" borderId="12" xfId="3" applyNumberFormat="1" applyBorder="1"/>
    <xf numFmtId="164" fontId="0" fillId="8" borderId="20" xfId="1" applyNumberFormat="1" applyFont="1" applyFill="1" applyBorder="1"/>
    <xf numFmtId="1" fontId="0" fillId="8" borderId="0" xfId="1" applyNumberFormat="1" applyFont="1" applyFill="1" applyBorder="1"/>
    <xf numFmtId="3" fontId="1" fillId="0" borderId="0" xfId="3" applyNumberFormat="1"/>
    <xf numFmtId="9" fontId="1" fillId="0" borderId="0" xfId="2" applyFont="1" applyFill="1" applyAlignment="1"/>
    <xf numFmtId="0" fontId="3" fillId="2" borderId="5" xfId="3" applyFont="1" applyFill="1" applyBorder="1" applyAlignment="1">
      <alignment horizontal="center"/>
    </xf>
    <xf numFmtId="0" fontId="3" fillId="2" borderId="6" xfId="3" applyFont="1" applyFill="1" applyBorder="1" applyAlignment="1">
      <alignment horizontal="center"/>
    </xf>
    <xf numFmtId="0" fontId="3" fillId="2" borderId="7" xfId="3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3" fillId="2" borderId="5" xfId="3" quotePrefix="1" applyFont="1" applyFill="1" applyBorder="1" applyAlignment="1">
      <alignment horizontal="center"/>
    </xf>
    <xf numFmtId="0" fontId="3" fillId="2" borderId="6" xfId="3" quotePrefix="1" applyFont="1" applyFill="1" applyBorder="1" applyAlignment="1">
      <alignment horizontal="center"/>
    </xf>
    <xf numFmtId="0" fontId="3" fillId="2" borderId="7" xfId="3" quotePrefix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3" xfId="3" quotePrefix="1" applyFill="1" applyBorder="1" applyAlignment="1">
      <alignment horizontal="center"/>
    </xf>
    <xf numFmtId="0" fontId="1" fillId="2" borderId="0" xfId="3" quotePrefix="1" applyFill="1" applyAlignment="1">
      <alignment horizontal="center"/>
    </xf>
    <xf numFmtId="0" fontId="9" fillId="0" borderId="1" xfId="3" applyFont="1" applyBorder="1" applyAlignment="1">
      <alignment horizontal="left"/>
    </xf>
    <xf numFmtId="0" fontId="9" fillId="0" borderId="9" xfId="3" applyFont="1" applyBorder="1" applyAlignment="1">
      <alignment horizontal="left"/>
    </xf>
    <xf numFmtId="0" fontId="9" fillId="0" borderId="2" xfId="3" applyFont="1" applyBorder="1" applyAlignment="1">
      <alignment horizontal="left"/>
    </xf>
    <xf numFmtId="0" fontId="1" fillId="2" borderId="3" xfId="3" applyFill="1" applyBorder="1" applyAlignment="1">
      <alignment horizontal="right"/>
    </xf>
    <xf numFmtId="0" fontId="1" fillId="2" borderId="0" xfId="3" applyFill="1" applyAlignment="1">
      <alignment horizontal="right"/>
    </xf>
    <xf numFmtId="0" fontId="3" fillId="5" borderId="1" xfId="3" applyFont="1" applyFill="1" applyBorder="1" applyAlignment="1">
      <alignment horizontal="right"/>
    </xf>
    <xf numFmtId="0" fontId="3" fillId="5" borderId="9" xfId="3" applyFont="1" applyFill="1" applyBorder="1" applyAlignment="1">
      <alignment horizontal="right"/>
    </xf>
    <xf numFmtId="0" fontId="3" fillId="5" borderId="2" xfId="3" applyFont="1" applyFill="1" applyBorder="1" applyAlignment="1">
      <alignment horizontal="right"/>
    </xf>
    <xf numFmtId="10" fontId="0" fillId="0" borderId="0" xfId="2" applyNumberFormat="1" applyFont="1" applyAlignment="1">
      <alignment horizontal="left"/>
    </xf>
    <xf numFmtId="0" fontId="1" fillId="2" borderId="15" xfId="3" applyFill="1" applyBorder="1" applyAlignment="1">
      <alignment horizontal="right"/>
    </xf>
    <xf numFmtId="0" fontId="1" fillId="2" borderId="11" xfId="3" applyFill="1" applyBorder="1" applyAlignment="1">
      <alignment horizontal="right"/>
    </xf>
    <xf numFmtId="0" fontId="1" fillId="2" borderId="12" xfId="3" applyFill="1" applyBorder="1" applyAlignment="1">
      <alignment horizontal="right"/>
    </xf>
    <xf numFmtId="10" fontId="1" fillId="2" borderId="0" xfId="2" applyNumberFormat="1" applyFont="1" applyFill="1" applyBorder="1" applyAlignment="1">
      <alignment horizontal="right"/>
    </xf>
  </cellXfs>
  <cellStyles count="6">
    <cellStyle name="Currency" xfId="1" builtinId="4"/>
    <cellStyle name="Currency 2" xfId="4" xr:uid="{D612A763-2539-4CBA-B08C-72DCEFC1B422}"/>
    <cellStyle name="Normal" xfId="0" builtinId="0"/>
    <cellStyle name="Normal 2" xfId="3" xr:uid="{881C9205-7366-49DB-9BE3-7FC4D01C182D}"/>
    <cellStyle name="Percent" xfId="2" builtinId="5"/>
    <cellStyle name="Percent 2" xfId="5" xr:uid="{167ABAA6-A116-4A7B-A8B1-A32BED52E8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pirecpi.sharepoint.com/Users/willspokes/Dropbox/@TableTop/Financials/TBLTOP-Financi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LTOP 18 Month Forecast"/>
      <sheetName val="TBLTOP 6-Year Forecast"/>
      <sheetName val="Sheet1"/>
      <sheetName val="Cash Flow Model"/>
      <sheetName val="Unit Economics"/>
      <sheetName val="Market Size"/>
      <sheetName val="LTV"/>
      <sheetName val="CAC"/>
      <sheetName val="Revenue Model Comps"/>
      <sheetName val="Updated Rev Share Model"/>
      <sheetName val="Updated Serv Fee Model"/>
      <sheetName val="Potential Client List"/>
      <sheetName val="Table Lay Out"/>
      <sheetName val="Old Revenue Model 1"/>
      <sheetName val="Old Revenue Model 2"/>
      <sheetName val="Old Revenue Model 3"/>
      <sheetName val="Old Revenue Model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C0A7-E06E-4AE3-9541-869394446CF6}">
  <dimension ref="B1:AD133"/>
  <sheetViews>
    <sheetView tabSelected="1" topLeftCell="B1" workbookViewId="0">
      <selection activeCell="E1" sqref="E1"/>
    </sheetView>
  </sheetViews>
  <sheetFormatPr defaultColWidth="9.7109375" defaultRowHeight="15"/>
  <cols>
    <col min="1" max="1" width="0" style="1" hidden="1" customWidth="1"/>
    <col min="2" max="2" width="52.5703125" style="1" customWidth="1"/>
    <col min="3" max="3" width="13.85546875" style="1" customWidth="1"/>
    <col min="4" max="4" width="14.7109375" style="1" customWidth="1"/>
    <col min="5" max="6" width="13.85546875" style="1" customWidth="1"/>
    <col min="7" max="9" width="15.7109375" style="1" customWidth="1"/>
    <col min="10" max="10" width="19.7109375" style="1" customWidth="1"/>
    <col min="11" max="14" width="15.7109375" style="1" customWidth="1"/>
    <col min="15" max="15" width="13.7109375" style="1" customWidth="1"/>
    <col min="16" max="16" width="24.140625" style="1" hidden="1" customWidth="1"/>
    <col min="17" max="17" width="20.28515625" style="1" hidden="1" customWidth="1"/>
    <col min="18" max="18" width="18.28515625" style="1" hidden="1" customWidth="1"/>
    <col min="19" max="19" width="14.140625" style="1" hidden="1" customWidth="1"/>
    <col min="20" max="20" width="12.28515625" style="1" customWidth="1"/>
    <col min="21" max="21" width="9.7109375" style="1"/>
    <col min="22" max="22" width="11.140625" style="1" bestFit="1" customWidth="1"/>
    <col min="23" max="16384" width="9.7109375" style="1"/>
  </cols>
  <sheetData>
    <row r="1" spans="2:30" ht="60" customHeight="1">
      <c r="B1" s="185" t="s">
        <v>0</v>
      </c>
      <c r="C1" s="186"/>
      <c r="W1" s="2"/>
    </row>
    <row r="2" spans="2:30" ht="16.899999999999999" customHeight="1">
      <c r="B2" s="3" t="s">
        <v>1</v>
      </c>
      <c r="C2" s="4"/>
      <c r="F2" s="187" t="s">
        <v>2</v>
      </c>
      <c r="G2" s="188"/>
      <c r="H2" s="188"/>
      <c r="I2" s="188"/>
      <c r="J2" s="189"/>
      <c r="W2" s="2"/>
    </row>
    <row r="3" spans="2:30" ht="16.149999999999999" customHeight="1">
      <c r="B3" s="5"/>
      <c r="C3" s="4"/>
      <c r="F3" s="6"/>
      <c r="G3" s="7"/>
      <c r="H3" s="8"/>
      <c r="I3" s="7" t="s">
        <v>3</v>
      </c>
      <c r="J3" s="4" t="s">
        <v>4</v>
      </c>
      <c r="W3" s="2"/>
    </row>
    <row r="4" spans="2:30" ht="15" customHeight="1">
      <c r="B4" s="9" t="s">
        <v>5</v>
      </c>
      <c r="C4" s="10">
        <v>0.05</v>
      </c>
      <c r="F4" s="6"/>
      <c r="G4" s="7"/>
      <c r="H4" s="8" t="s">
        <v>6</v>
      </c>
      <c r="I4" s="11">
        <v>3500</v>
      </c>
      <c r="J4" s="12">
        <v>0</v>
      </c>
      <c r="W4" s="2"/>
    </row>
    <row r="5" spans="2:30" ht="15" customHeight="1">
      <c r="B5" s="9" t="s">
        <v>7</v>
      </c>
      <c r="C5" s="10">
        <v>0.25</v>
      </c>
      <c r="F5" s="6"/>
      <c r="G5" s="7"/>
      <c r="H5" s="13" t="s">
        <v>8</v>
      </c>
      <c r="I5" s="7">
        <v>1</v>
      </c>
      <c r="J5" s="4">
        <f>I5</f>
        <v>1</v>
      </c>
      <c r="L5" s="190" t="s">
        <v>9</v>
      </c>
      <c r="M5" s="190"/>
      <c r="N5" s="190"/>
      <c r="O5" s="190"/>
      <c r="P5" s="190"/>
      <c r="Q5" s="190"/>
      <c r="R5" s="190"/>
      <c r="S5" s="190"/>
      <c r="T5" s="190"/>
      <c r="V5" s="14"/>
    </row>
    <row r="6" spans="2:30" ht="15" customHeight="1">
      <c r="B6" s="15" t="s">
        <v>10</v>
      </c>
      <c r="C6" s="16">
        <v>2</v>
      </c>
      <c r="D6" s="17">
        <v>3</v>
      </c>
      <c r="F6" s="6"/>
      <c r="G6" s="7"/>
      <c r="H6" s="13" t="s">
        <v>11</v>
      </c>
      <c r="I6" s="7">
        <v>800</v>
      </c>
      <c r="J6" s="4">
        <f>I6</f>
        <v>800</v>
      </c>
      <c r="L6" s="191"/>
      <c r="M6" s="192"/>
      <c r="N6" s="192"/>
      <c r="O6" s="193"/>
      <c r="P6" s="18"/>
      <c r="Q6" s="18"/>
      <c r="R6" s="18"/>
      <c r="S6" s="18"/>
      <c r="T6" s="19">
        <v>2023</v>
      </c>
      <c r="V6" s="14"/>
    </row>
    <row r="7" spans="2:30" ht="15" customHeight="1">
      <c r="B7" s="9" t="s">
        <v>12</v>
      </c>
      <c r="C7" s="20">
        <v>400</v>
      </c>
      <c r="F7" s="194" t="s">
        <v>13</v>
      </c>
      <c r="G7" s="195"/>
      <c r="H7" s="195"/>
      <c r="I7" s="21">
        <v>0.42</v>
      </c>
      <c r="J7" s="4"/>
      <c r="K7"/>
      <c r="L7" s="196" t="s">
        <v>14</v>
      </c>
      <c r="M7" s="197"/>
      <c r="N7" s="197"/>
      <c r="O7" s="198"/>
      <c r="P7" s="18"/>
      <c r="Q7" s="18"/>
      <c r="R7" s="18"/>
      <c r="S7" s="18"/>
      <c r="T7" s="22">
        <f>O103</f>
        <v>18000</v>
      </c>
      <c r="V7" s="14"/>
    </row>
    <row r="8" spans="2:30" ht="15" customHeight="1">
      <c r="B8" s="9" t="s">
        <v>15</v>
      </c>
      <c r="C8" s="20">
        <v>150</v>
      </c>
      <c r="F8" s="199" t="s">
        <v>16</v>
      </c>
      <c r="G8" s="200"/>
      <c r="H8" s="200"/>
      <c r="I8" s="24">
        <v>0.04</v>
      </c>
      <c r="J8" s="4"/>
      <c r="K8"/>
      <c r="L8" s="25" t="s">
        <v>17</v>
      </c>
      <c r="M8" s="26"/>
      <c r="N8" s="26"/>
      <c r="O8" s="27"/>
      <c r="P8" s="18"/>
      <c r="Q8" s="18"/>
      <c r="R8" s="18"/>
      <c r="S8" s="18"/>
      <c r="T8" s="22">
        <f>O100+O101+O102</f>
        <v>30000</v>
      </c>
      <c r="V8" s="14"/>
      <c r="X8"/>
      <c r="Y8"/>
      <c r="Z8"/>
      <c r="AA8"/>
      <c r="AB8"/>
      <c r="AC8"/>
      <c r="AD8"/>
    </row>
    <row r="9" spans="2:30" ht="15" customHeight="1" thickBot="1">
      <c r="B9" s="9" t="s">
        <v>18</v>
      </c>
      <c r="C9" s="20">
        <v>200</v>
      </c>
      <c r="F9" s="199" t="s">
        <v>19</v>
      </c>
      <c r="G9" s="200"/>
      <c r="H9" s="200"/>
      <c r="I9" s="28">
        <f>(I6*I7)*I8</f>
        <v>13.44</v>
      </c>
      <c r="J9" s="4"/>
      <c r="K9" s="29"/>
      <c r="L9" s="25" t="s">
        <v>20</v>
      </c>
      <c r="M9" s="26"/>
      <c r="N9" s="26"/>
      <c r="O9" s="27"/>
      <c r="P9" s="18"/>
      <c r="Q9" s="18"/>
      <c r="R9" s="18"/>
      <c r="S9" s="18"/>
      <c r="T9" s="22">
        <f>O104+O105</f>
        <v>0</v>
      </c>
      <c r="V9" s="14"/>
      <c r="X9"/>
      <c r="Y9"/>
      <c r="Z9"/>
      <c r="AA9"/>
      <c r="AB9"/>
      <c r="AC9"/>
      <c r="AD9"/>
    </row>
    <row r="10" spans="2:30" ht="15" customHeight="1" thickBot="1">
      <c r="B10" s="30" t="s">
        <v>21</v>
      </c>
      <c r="C10" s="16">
        <v>2</v>
      </c>
      <c r="D10" s="17">
        <v>3</v>
      </c>
      <c r="F10" s="31"/>
      <c r="G10" s="32"/>
      <c r="H10" s="33" t="s">
        <v>22</v>
      </c>
      <c r="I10" s="34">
        <v>1.5</v>
      </c>
      <c r="J10" s="35">
        <f>I10</f>
        <v>1.5</v>
      </c>
      <c r="K10"/>
      <c r="L10" s="25" t="s">
        <v>23</v>
      </c>
      <c r="M10" s="26"/>
      <c r="N10" s="26"/>
      <c r="O10" s="27"/>
      <c r="P10" s="18"/>
      <c r="Q10" s="18"/>
      <c r="R10" s="18"/>
      <c r="S10" s="18"/>
      <c r="T10" s="36" t="e">
        <f>'[1]TBLTOP 6-Year Forecast'!O36</f>
        <v>#REF!</v>
      </c>
      <c r="V10" s="14"/>
      <c r="W10" s="29"/>
      <c r="X10" s="29"/>
      <c r="Y10" s="29"/>
      <c r="Z10" s="29"/>
      <c r="AA10" s="29"/>
      <c r="AB10" s="29"/>
      <c r="AC10" s="29"/>
      <c r="AD10" s="29"/>
    </row>
    <row r="11" spans="2:30" ht="15" customHeight="1">
      <c r="B11" s="23" t="s">
        <v>24</v>
      </c>
      <c r="C11" s="20">
        <v>100</v>
      </c>
      <c r="D11" s="37"/>
      <c r="F11" s="6"/>
      <c r="G11" s="7"/>
      <c r="H11" s="13" t="s">
        <v>25</v>
      </c>
      <c r="I11" s="38">
        <f>(I6*I10)/2</f>
        <v>600</v>
      </c>
      <c r="J11" s="4"/>
      <c r="K11" s="39"/>
      <c r="L11" s="25" t="s">
        <v>26</v>
      </c>
      <c r="M11" s="26"/>
      <c r="N11" s="26"/>
      <c r="O11" s="27"/>
      <c r="P11" s="18"/>
      <c r="Q11" s="18"/>
      <c r="R11" s="18"/>
      <c r="S11" s="18"/>
      <c r="T11" s="36">
        <v>0</v>
      </c>
      <c r="V11" s="14"/>
      <c r="X11"/>
      <c r="Y11"/>
      <c r="Z11"/>
      <c r="AA11"/>
      <c r="AB11"/>
      <c r="AC11"/>
      <c r="AD11"/>
    </row>
    <row r="12" spans="2:30" ht="15" customHeight="1">
      <c r="B12" s="23" t="s">
        <v>27</v>
      </c>
      <c r="C12" s="20">
        <v>18000</v>
      </c>
      <c r="D12" s="37"/>
      <c r="F12" s="6"/>
      <c r="G12" s="7"/>
      <c r="H12" s="13" t="s">
        <v>28</v>
      </c>
      <c r="I12" s="38">
        <v>0</v>
      </c>
      <c r="J12" s="35">
        <f>J10*J6</f>
        <v>1200</v>
      </c>
      <c r="K12" s="40"/>
      <c r="L12" s="25" t="s">
        <v>29</v>
      </c>
      <c r="M12" s="26"/>
      <c r="N12" s="26"/>
      <c r="O12" s="27"/>
      <c r="P12" s="18"/>
      <c r="Q12" s="18"/>
      <c r="R12" s="18"/>
      <c r="S12" s="18"/>
      <c r="T12" s="36" t="e">
        <f>'[1]TBLTOP 6-Year Forecast'!O56</f>
        <v>#REF!</v>
      </c>
    </row>
    <row r="13" spans="2:30" ht="16.899999999999999" customHeight="1">
      <c r="B13" s="23" t="s">
        <v>30</v>
      </c>
      <c r="C13" s="41">
        <v>0.03</v>
      </c>
      <c r="D13" s="37"/>
      <c r="E13" s="42"/>
      <c r="F13" s="6"/>
      <c r="G13" s="7"/>
      <c r="H13" s="13" t="s">
        <v>31</v>
      </c>
      <c r="I13" s="43">
        <f>(I4*I5)+I11</f>
        <v>4100</v>
      </c>
      <c r="J13" s="4"/>
      <c r="L13" s="44" t="s">
        <v>32</v>
      </c>
      <c r="M13" s="45"/>
      <c r="N13" s="45"/>
      <c r="O13" s="46"/>
      <c r="P13" s="47"/>
      <c r="Q13" s="47"/>
      <c r="R13" s="47"/>
      <c r="S13" s="47"/>
      <c r="T13" s="48">
        <f>O40</f>
        <v>27</v>
      </c>
      <c r="V13" s="14"/>
    </row>
    <row r="14" spans="2:30" ht="15.75">
      <c r="B14" s="23" t="s">
        <v>33</v>
      </c>
      <c r="C14" s="20">
        <v>600</v>
      </c>
      <c r="D14" s="37"/>
      <c r="E14" s="49"/>
      <c r="F14" s="50"/>
      <c r="G14" s="51"/>
      <c r="H14" s="13" t="s">
        <v>34</v>
      </c>
      <c r="I14" s="52">
        <f>I12</f>
        <v>0</v>
      </c>
      <c r="J14" s="53">
        <f>J12</f>
        <v>1200</v>
      </c>
      <c r="K14" s="37"/>
      <c r="L14" s="44" t="s">
        <v>35</v>
      </c>
      <c r="M14" s="45"/>
      <c r="N14" s="45"/>
      <c r="O14" s="46"/>
      <c r="P14" s="47"/>
      <c r="Q14" s="47"/>
      <c r="R14" s="47"/>
      <c r="S14" s="47"/>
      <c r="T14" s="54">
        <f>O51</f>
        <v>120</v>
      </c>
    </row>
    <row r="15" spans="2:30" ht="15.75">
      <c r="B15" s="30" t="s">
        <v>36</v>
      </c>
      <c r="C15" s="55">
        <v>2</v>
      </c>
      <c r="D15" s="37"/>
      <c r="E15" s="37"/>
      <c r="F15" s="50"/>
      <c r="G15" s="51"/>
      <c r="H15" s="13" t="s">
        <v>37</v>
      </c>
      <c r="I15" s="7">
        <v>20</v>
      </c>
      <c r="J15" s="35"/>
      <c r="K15" s="37"/>
      <c r="L15" s="56" t="s">
        <v>38</v>
      </c>
      <c r="M15" s="57"/>
      <c r="N15" s="57"/>
      <c r="O15" s="58"/>
      <c r="P15" s="47"/>
      <c r="Q15" s="47"/>
      <c r="R15" s="47"/>
      <c r="S15" s="47"/>
      <c r="T15" s="59">
        <f>SUM(T13:T14)</f>
        <v>147</v>
      </c>
      <c r="W15" s="37"/>
      <c r="X15" s="37"/>
    </row>
    <row r="16" spans="2:30" ht="16.149999999999999" customHeight="1">
      <c r="B16" s="60" t="s">
        <v>39</v>
      </c>
      <c r="C16" s="61">
        <v>25</v>
      </c>
      <c r="D16" s="62">
        <v>1</v>
      </c>
      <c r="E16" s="37"/>
      <c r="F16" s="50"/>
      <c r="G16" s="51"/>
      <c r="H16" s="13" t="s">
        <v>40</v>
      </c>
      <c r="I16" s="63">
        <f>I5/20</f>
        <v>0.05</v>
      </c>
      <c r="J16" s="64"/>
      <c r="K16" s="37"/>
      <c r="L16" s="201" t="s">
        <v>41</v>
      </c>
      <c r="M16" s="202"/>
      <c r="N16" s="202"/>
      <c r="O16" s="203"/>
      <c r="P16" s="65"/>
      <c r="Q16" s="65"/>
      <c r="R16" s="65"/>
      <c r="S16" s="65"/>
      <c r="T16" s="66" t="e">
        <f>SUM(T7:T12)/T15</f>
        <v>#REF!</v>
      </c>
      <c r="W16" s="37"/>
    </row>
    <row r="17" spans="2:30" ht="16.149999999999999" customHeight="1">
      <c r="B17" s="60" t="s">
        <v>42</v>
      </c>
      <c r="C17" s="61">
        <v>20</v>
      </c>
      <c r="D17" s="62">
        <v>1</v>
      </c>
      <c r="E17" s="37"/>
      <c r="F17" s="50"/>
      <c r="G17" s="51"/>
      <c r="H17" s="13" t="s">
        <v>43</v>
      </c>
      <c r="I17" s="11">
        <v>30000</v>
      </c>
      <c r="J17" s="4"/>
      <c r="K17" s="37"/>
      <c r="L17" s="201" t="s">
        <v>44</v>
      </c>
      <c r="M17" s="202"/>
      <c r="N17" s="202"/>
      <c r="O17" s="203"/>
      <c r="T17" s="66" t="e">
        <f>T16/12</f>
        <v>#REF!</v>
      </c>
      <c r="W17" s="204"/>
      <c r="X17" s="204"/>
      <c r="Y17" s="204"/>
      <c r="Z17" s="204"/>
      <c r="AA17" s="204"/>
      <c r="AB17" s="204"/>
      <c r="AC17" s="204"/>
      <c r="AD17" s="204"/>
    </row>
    <row r="18" spans="2:30" ht="16.149999999999999" customHeight="1">
      <c r="B18" s="60" t="s">
        <v>45</v>
      </c>
      <c r="C18" s="61">
        <v>19</v>
      </c>
      <c r="D18" s="62">
        <v>0.8</v>
      </c>
      <c r="E18" s="37"/>
      <c r="F18" s="50"/>
      <c r="G18" s="51"/>
      <c r="H18" s="13" t="s">
        <v>46</v>
      </c>
      <c r="I18" s="67">
        <f>I17/12</f>
        <v>2500</v>
      </c>
      <c r="J18" s="4"/>
      <c r="K18" s="68"/>
      <c r="P18" s="69"/>
      <c r="Q18" s="70" t="s">
        <v>47</v>
      </c>
    </row>
    <row r="19" spans="2:30" ht="16.149999999999999" customHeight="1">
      <c r="B19" s="60" t="s">
        <v>48</v>
      </c>
      <c r="C19" s="61">
        <v>29</v>
      </c>
      <c r="D19" s="62">
        <v>0.3</v>
      </c>
      <c r="E19" s="37"/>
      <c r="F19" s="50"/>
      <c r="G19" s="51"/>
      <c r="H19" s="13" t="s">
        <v>49</v>
      </c>
      <c r="I19" s="67">
        <f>I5*(I18*I16)</f>
        <v>125</v>
      </c>
      <c r="J19" s="4"/>
      <c r="K19" s="37"/>
      <c r="P19" s="71"/>
      <c r="Q19" s="71" t="s">
        <v>50</v>
      </c>
      <c r="R19" s="71" t="s">
        <v>51</v>
      </c>
    </row>
    <row r="20" spans="2:30" ht="16.149999999999999" customHeight="1">
      <c r="B20" s="60" t="s">
        <v>52</v>
      </c>
      <c r="C20" s="61">
        <v>4000</v>
      </c>
      <c r="D20" s="72">
        <v>0</v>
      </c>
      <c r="E20" s="37"/>
      <c r="F20" s="73"/>
      <c r="G20" s="74"/>
      <c r="H20" s="75" t="s">
        <v>53</v>
      </c>
      <c r="I20" s="76">
        <v>600</v>
      </c>
      <c r="J20" s="77"/>
      <c r="K20" s="37"/>
      <c r="P20" s="78" t="s">
        <v>54</v>
      </c>
      <c r="Q20" s="79">
        <v>10000</v>
      </c>
      <c r="R20" s="79">
        <v>10000</v>
      </c>
    </row>
    <row r="21" spans="2:30" ht="16.149999999999999" customHeight="1">
      <c r="B21" s="80" t="s">
        <v>55</v>
      </c>
      <c r="C21" s="81">
        <v>2</v>
      </c>
      <c r="D21" s="37"/>
      <c r="E21" s="37"/>
      <c r="F21" s="37"/>
      <c r="G21" s="37"/>
      <c r="K21" s="37"/>
      <c r="P21" s="82" t="s">
        <v>56</v>
      </c>
      <c r="Q21" s="83">
        <v>0.75</v>
      </c>
      <c r="R21" s="83"/>
    </row>
    <row r="22" spans="2:30" ht="16.149999999999999" customHeight="1" thickBot="1">
      <c r="B22" s="60" t="s">
        <v>57</v>
      </c>
      <c r="C22" s="61">
        <v>30</v>
      </c>
      <c r="D22" s="37"/>
      <c r="E22" s="37"/>
      <c r="F22" s="182" t="s">
        <v>58</v>
      </c>
      <c r="G22" s="183"/>
      <c r="H22" s="184"/>
      <c r="I22" s="182" t="s">
        <v>59</v>
      </c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4"/>
    </row>
    <row r="23" spans="2:30" ht="15.75" thickBot="1">
      <c r="B23" s="30" t="s">
        <v>60</v>
      </c>
      <c r="C23" s="55">
        <v>160</v>
      </c>
      <c r="D23" s="37"/>
      <c r="E23" s="37"/>
      <c r="F23" s="84" t="s">
        <v>61</v>
      </c>
      <c r="G23" s="7"/>
      <c r="H23" s="85">
        <v>249</v>
      </c>
      <c r="I23" s="205" t="s">
        <v>62</v>
      </c>
      <c r="J23" s="200"/>
      <c r="K23" s="200"/>
      <c r="L23" s="86">
        <f>C64</f>
        <v>4000</v>
      </c>
      <c r="M23" s="200" t="s">
        <v>63</v>
      </c>
      <c r="N23" s="200"/>
      <c r="O23" s="200"/>
      <c r="P23" s="8"/>
      <c r="Q23" s="8"/>
      <c r="R23" s="8"/>
      <c r="S23" s="8"/>
      <c r="T23" s="87">
        <f>C66</f>
        <v>3200</v>
      </c>
    </row>
    <row r="24" spans="2:30">
      <c r="B24" s="30" t="s">
        <v>64</v>
      </c>
      <c r="C24" s="55"/>
      <c r="D24" s="37"/>
      <c r="E24" s="37"/>
      <c r="F24" s="88" t="s">
        <v>65</v>
      </c>
      <c r="G24" s="7"/>
      <c r="H24" s="7">
        <v>10</v>
      </c>
      <c r="I24" s="199" t="s">
        <v>66</v>
      </c>
      <c r="J24" s="200"/>
      <c r="K24" s="200"/>
      <c r="L24" s="86">
        <f>C65</f>
        <v>1000</v>
      </c>
      <c r="M24" s="200" t="s">
        <v>66</v>
      </c>
      <c r="N24" s="200"/>
      <c r="O24" s="200"/>
      <c r="P24" s="8"/>
      <c r="Q24" s="8"/>
      <c r="R24" s="8"/>
      <c r="S24" s="8"/>
      <c r="T24" s="87">
        <f>C67</f>
        <v>800</v>
      </c>
    </row>
    <row r="25" spans="2:30">
      <c r="B25" s="30" t="s">
        <v>67</v>
      </c>
      <c r="C25" s="55"/>
      <c r="D25" s="37"/>
      <c r="E25" s="37"/>
      <c r="F25" s="6" t="s">
        <v>68</v>
      </c>
      <c r="G25" s="7"/>
      <c r="H25" s="13">
        <v>10</v>
      </c>
      <c r="I25" s="199" t="s">
        <v>69</v>
      </c>
      <c r="J25" s="200"/>
      <c r="K25" s="200"/>
      <c r="L25" s="86">
        <f>C7</f>
        <v>400</v>
      </c>
      <c r="M25" s="200" t="s">
        <v>69</v>
      </c>
      <c r="N25" s="200"/>
      <c r="O25" s="200"/>
      <c r="P25" s="8"/>
      <c r="Q25" s="8"/>
      <c r="R25" s="8"/>
      <c r="S25" s="8"/>
      <c r="T25" s="89">
        <f>C7</f>
        <v>400</v>
      </c>
    </row>
    <row r="26" spans="2:30">
      <c r="B26" s="23" t="s">
        <v>70</v>
      </c>
      <c r="C26" s="90">
        <v>20</v>
      </c>
      <c r="D26" s="91">
        <v>30</v>
      </c>
      <c r="E26" s="92">
        <v>60</v>
      </c>
      <c r="F26" s="6" t="s">
        <v>71</v>
      </c>
      <c r="G26" s="7"/>
      <c r="H26" s="7">
        <v>10</v>
      </c>
      <c r="I26" s="199" t="s">
        <v>72</v>
      </c>
      <c r="J26" s="200"/>
      <c r="K26" s="200"/>
      <c r="L26" s="86">
        <f>C8</f>
        <v>150</v>
      </c>
      <c r="M26" s="200" t="s">
        <v>72</v>
      </c>
      <c r="N26" s="200"/>
      <c r="O26" s="200"/>
      <c r="P26" s="8"/>
      <c r="Q26" s="8"/>
      <c r="R26" s="8"/>
      <c r="S26" s="8"/>
      <c r="T26" s="89">
        <f>C8</f>
        <v>150</v>
      </c>
    </row>
    <row r="27" spans="2:30">
      <c r="B27" s="93" t="s">
        <v>73</v>
      </c>
      <c r="C27" s="94">
        <f>60000/12</f>
        <v>5000</v>
      </c>
      <c r="D27" s="95"/>
      <c r="E27" s="96">
        <v>90</v>
      </c>
      <c r="F27" s="6" t="s">
        <v>74</v>
      </c>
      <c r="G27" s="7"/>
      <c r="H27" s="4">
        <v>30</v>
      </c>
      <c r="I27" s="199" t="s">
        <v>75</v>
      </c>
      <c r="J27" s="200"/>
      <c r="K27" s="200"/>
      <c r="L27" s="86">
        <f>C9</f>
        <v>200</v>
      </c>
      <c r="M27" s="200" t="s">
        <v>75</v>
      </c>
      <c r="N27" s="200"/>
      <c r="O27" s="200"/>
      <c r="P27" s="8"/>
      <c r="Q27" s="8"/>
      <c r="R27" s="8"/>
      <c r="S27" s="8"/>
      <c r="T27" s="89">
        <f>C9</f>
        <v>200</v>
      </c>
    </row>
    <row r="28" spans="2:30">
      <c r="B28" s="97"/>
      <c r="C28" s="98"/>
      <c r="E28" s="37"/>
      <c r="F28" s="6" t="s">
        <v>76</v>
      </c>
      <c r="G28" s="7"/>
      <c r="H28" s="4">
        <v>20</v>
      </c>
      <c r="I28" s="199" t="s">
        <v>77</v>
      </c>
      <c r="J28" s="200"/>
      <c r="K28" s="200"/>
      <c r="L28" s="67">
        <f>C11</f>
        <v>100</v>
      </c>
      <c r="M28" s="200" t="s">
        <v>77</v>
      </c>
      <c r="N28" s="200"/>
      <c r="O28" s="200"/>
      <c r="P28" s="8"/>
      <c r="Q28" s="8"/>
      <c r="R28" s="8"/>
      <c r="S28" s="8"/>
      <c r="T28" s="87">
        <f>C11</f>
        <v>100</v>
      </c>
    </row>
    <row r="29" spans="2:30" ht="15.75" thickBot="1">
      <c r="B29" s="97"/>
      <c r="C29" s="99"/>
      <c r="E29" s="95"/>
      <c r="F29" s="88" t="s">
        <v>78</v>
      </c>
      <c r="G29" s="7"/>
      <c r="H29" s="4">
        <v>2</v>
      </c>
      <c r="I29" s="206" t="s">
        <v>79</v>
      </c>
      <c r="J29" s="207"/>
      <c r="K29" s="207"/>
      <c r="L29" s="67">
        <f>SUM(L23:L28)</f>
        <v>5850</v>
      </c>
      <c r="M29" s="208" t="s">
        <v>80</v>
      </c>
      <c r="N29" s="208"/>
      <c r="O29" s="208"/>
      <c r="P29" s="100"/>
      <c r="Q29" s="100"/>
      <c r="R29" s="100"/>
      <c r="S29" s="100"/>
      <c r="T29" s="87">
        <f>SUM(T23:T28)</f>
        <v>4850</v>
      </c>
    </row>
    <row r="30" spans="2:30" ht="15.75" thickBot="1">
      <c r="B30" s="101" t="s">
        <v>81</v>
      </c>
      <c r="C30" s="102">
        <v>2</v>
      </c>
      <c r="E30" s="95"/>
      <c r="F30" s="103" t="s">
        <v>82</v>
      </c>
      <c r="G30" s="104"/>
      <c r="H30" s="104"/>
      <c r="I30" s="105" t="s">
        <v>83</v>
      </c>
      <c r="J30" s="106"/>
      <c r="K30" s="107">
        <f>L29+T29</f>
        <v>10700</v>
      </c>
      <c r="L30" s="104"/>
      <c r="M30" s="108"/>
      <c r="N30" s="104"/>
      <c r="O30" s="104"/>
      <c r="P30" s="104"/>
      <c r="Q30" s="104"/>
      <c r="R30" s="104"/>
      <c r="S30" s="104"/>
      <c r="T30" s="77"/>
    </row>
    <row r="31" spans="2:30" ht="16.149999999999999" customHeight="1" thickBot="1">
      <c r="B31" s="101" t="s">
        <v>84</v>
      </c>
      <c r="C31" s="109">
        <v>3</v>
      </c>
      <c r="D31" s="37"/>
      <c r="E31" s="37"/>
      <c r="F31" s="110" t="s">
        <v>85</v>
      </c>
      <c r="G31" s="106"/>
      <c r="H31" s="107">
        <f>H23*H28*H29</f>
        <v>9960</v>
      </c>
      <c r="I31" s="111" t="s">
        <v>86</v>
      </c>
      <c r="J31" s="106"/>
      <c r="K31" s="107">
        <f>H31-K30</f>
        <v>-740</v>
      </c>
      <c r="M31" s="37"/>
    </row>
    <row r="32" spans="2:30" ht="16.149999999999999" hidden="1" customHeight="1">
      <c r="B32" s="14"/>
      <c r="C32" s="112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2:15" ht="16.149999999999999" customHeight="1" thickBot="1">
      <c r="D33" s="37"/>
      <c r="E33" s="37"/>
      <c r="F33" s="37"/>
      <c r="G33" s="37"/>
      <c r="H33" s="37"/>
      <c r="I33" s="37"/>
      <c r="J33" s="37"/>
      <c r="K33" s="37"/>
      <c r="L33" s="37"/>
    </row>
    <row r="34" spans="2:15" ht="15" customHeight="1" thickBot="1">
      <c r="B34" s="113" t="s">
        <v>87</v>
      </c>
      <c r="C34" s="114">
        <f>O125</f>
        <v>104894.5</v>
      </c>
      <c r="D34" s="115"/>
      <c r="E34" s="115"/>
      <c r="F34" s="115"/>
      <c r="G34" s="115"/>
    </row>
    <row r="35" spans="2:15" ht="15" customHeight="1">
      <c r="B35" s="14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</row>
    <row r="36" spans="2:15" ht="15" customHeight="1">
      <c r="B36" s="117"/>
      <c r="C36" s="118">
        <v>44949</v>
      </c>
      <c r="D36" s="118">
        <v>44980</v>
      </c>
      <c r="E36" s="118">
        <v>45008</v>
      </c>
      <c r="F36" s="118">
        <v>45039</v>
      </c>
      <c r="G36" s="118">
        <v>45069</v>
      </c>
      <c r="H36" s="118">
        <v>45100</v>
      </c>
      <c r="I36" s="118">
        <v>45130</v>
      </c>
      <c r="J36" s="118">
        <v>45161</v>
      </c>
      <c r="K36" s="118">
        <v>45192</v>
      </c>
      <c r="L36" s="118">
        <v>45222</v>
      </c>
      <c r="M36" s="118">
        <v>45253</v>
      </c>
      <c r="N36" s="118">
        <v>45283</v>
      </c>
      <c r="O36" s="119" t="s">
        <v>88</v>
      </c>
    </row>
    <row r="37" spans="2:15" ht="15" customHeight="1">
      <c r="B37" s="120" t="s">
        <v>89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</row>
    <row r="38" spans="2:15" ht="15" customHeight="1">
      <c r="B38" s="122" t="s">
        <v>90</v>
      </c>
      <c r="C38" s="123">
        <f t="shared" ref="C38:N38" si="0">$C$30</f>
        <v>2</v>
      </c>
      <c r="D38" s="123">
        <f t="shared" si="0"/>
        <v>2</v>
      </c>
      <c r="E38" s="123">
        <f t="shared" si="0"/>
        <v>2</v>
      </c>
      <c r="F38" s="123">
        <f t="shared" si="0"/>
        <v>2</v>
      </c>
      <c r="G38" s="123">
        <f t="shared" si="0"/>
        <v>2</v>
      </c>
      <c r="H38" s="123">
        <f t="shared" si="0"/>
        <v>2</v>
      </c>
      <c r="I38" s="123">
        <f t="shared" si="0"/>
        <v>2</v>
      </c>
      <c r="J38" s="123">
        <f t="shared" si="0"/>
        <v>2</v>
      </c>
      <c r="K38" s="123">
        <f t="shared" si="0"/>
        <v>2</v>
      </c>
      <c r="L38" s="123">
        <f t="shared" si="0"/>
        <v>2</v>
      </c>
      <c r="M38" s="123">
        <f t="shared" si="0"/>
        <v>2</v>
      </c>
      <c r="N38" s="123">
        <f t="shared" si="0"/>
        <v>2</v>
      </c>
    </row>
    <row r="39" spans="2:15" ht="15" customHeight="1">
      <c r="B39" s="122" t="s">
        <v>91</v>
      </c>
      <c r="C39" s="124">
        <f>C31</f>
        <v>3</v>
      </c>
      <c r="D39" s="124">
        <f>C39+D38</f>
        <v>5</v>
      </c>
      <c r="E39" s="124">
        <f t="shared" ref="E39:M39" si="1">D39+E38</f>
        <v>7</v>
      </c>
      <c r="F39" s="124">
        <f t="shared" si="1"/>
        <v>9</v>
      </c>
      <c r="G39" s="124">
        <f t="shared" si="1"/>
        <v>11</v>
      </c>
      <c r="H39" s="124">
        <f t="shared" si="1"/>
        <v>13</v>
      </c>
      <c r="I39" s="124">
        <f t="shared" si="1"/>
        <v>15</v>
      </c>
      <c r="J39" s="124">
        <f t="shared" si="1"/>
        <v>17</v>
      </c>
      <c r="K39" s="124">
        <f t="shared" si="1"/>
        <v>19</v>
      </c>
      <c r="L39" s="124">
        <f t="shared" si="1"/>
        <v>21</v>
      </c>
      <c r="M39" s="124">
        <f t="shared" si="1"/>
        <v>23</v>
      </c>
      <c r="N39" s="124">
        <f>M39+N38</f>
        <v>25</v>
      </c>
    </row>
    <row r="40" spans="2:15" ht="15" customHeight="1">
      <c r="B40" s="122" t="s">
        <v>92</v>
      </c>
      <c r="C40" s="124">
        <f>SUM(C38:C39)</f>
        <v>5</v>
      </c>
      <c r="D40" s="124">
        <f>SUM(D38:D39)</f>
        <v>7</v>
      </c>
      <c r="E40" s="124">
        <f t="shared" ref="E40:N40" si="2">SUM(E38:E39)</f>
        <v>9</v>
      </c>
      <c r="F40" s="124">
        <f t="shared" si="2"/>
        <v>11</v>
      </c>
      <c r="G40" s="124">
        <f t="shared" si="2"/>
        <v>13</v>
      </c>
      <c r="H40" s="124">
        <f t="shared" si="2"/>
        <v>15</v>
      </c>
      <c r="I40" s="124">
        <f t="shared" si="2"/>
        <v>17</v>
      </c>
      <c r="J40" s="124">
        <f t="shared" si="2"/>
        <v>19</v>
      </c>
      <c r="K40" s="124">
        <f t="shared" si="2"/>
        <v>21</v>
      </c>
      <c r="L40" s="124">
        <f t="shared" si="2"/>
        <v>23</v>
      </c>
      <c r="M40" s="124">
        <f t="shared" si="2"/>
        <v>25</v>
      </c>
      <c r="N40" s="124">
        <f t="shared" si="2"/>
        <v>27</v>
      </c>
      <c r="O40" s="125">
        <f>+N40</f>
        <v>27</v>
      </c>
    </row>
    <row r="41" spans="2:15" ht="15" customHeight="1">
      <c r="B41" s="122" t="s">
        <v>93</v>
      </c>
      <c r="C41" s="126">
        <v>500</v>
      </c>
      <c r="D41" s="126">
        <v>1000</v>
      </c>
      <c r="E41" s="126">
        <v>1500</v>
      </c>
      <c r="F41" s="126">
        <v>2000</v>
      </c>
      <c r="G41" s="126">
        <v>2500</v>
      </c>
      <c r="H41" s="126">
        <v>3000</v>
      </c>
      <c r="I41" s="126">
        <v>3500</v>
      </c>
      <c r="J41" s="126">
        <v>4000</v>
      </c>
      <c r="K41" s="126">
        <v>5000</v>
      </c>
      <c r="L41" s="126">
        <v>6000</v>
      </c>
      <c r="M41" s="126">
        <v>7000</v>
      </c>
      <c r="N41" s="126">
        <v>8000</v>
      </c>
      <c r="O41" s="127">
        <v>8000</v>
      </c>
    </row>
    <row r="42" spans="2:15" ht="15" customHeight="1">
      <c r="B42" s="128" t="s">
        <v>94</v>
      </c>
      <c r="C42" s="129">
        <f>$I$13*C38</f>
        <v>8200</v>
      </c>
      <c r="D42" s="129">
        <f>$I$13*D38</f>
        <v>8200</v>
      </c>
      <c r="E42" s="129">
        <f t="shared" ref="E42:N42" si="3">$I$13*E38</f>
        <v>8200</v>
      </c>
      <c r="F42" s="129">
        <f t="shared" si="3"/>
        <v>8200</v>
      </c>
      <c r="G42" s="129">
        <f t="shared" si="3"/>
        <v>8200</v>
      </c>
      <c r="H42" s="129">
        <f t="shared" si="3"/>
        <v>8200</v>
      </c>
      <c r="I42" s="129">
        <f t="shared" si="3"/>
        <v>8200</v>
      </c>
      <c r="J42" s="129">
        <f t="shared" si="3"/>
        <v>8200</v>
      </c>
      <c r="K42" s="129">
        <f t="shared" si="3"/>
        <v>8200</v>
      </c>
      <c r="L42" s="129">
        <f t="shared" si="3"/>
        <v>8200</v>
      </c>
      <c r="M42" s="129">
        <f t="shared" si="3"/>
        <v>8200</v>
      </c>
      <c r="N42" s="129">
        <f t="shared" si="3"/>
        <v>8200</v>
      </c>
      <c r="O42" s="130">
        <f t="shared" ref="O42:O45" si="4">SUM(C42:N42)</f>
        <v>98400</v>
      </c>
    </row>
    <row r="43" spans="2:15" ht="15" customHeight="1">
      <c r="B43" s="131" t="s">
        <v>95</v>
      </c>
      <c r="C43" s="132">
        <v>0</v>
      </c>
      <c r="D43" s="132">
        <f t="shared" ref="D43:N43" si="5">$J$14*D39</f>
        <v>6000</v>
      </c>
      <c r="E43" s="132">
        <f t="shared" si="5"/>
        <v>8400</v>
      </c>
      <c r="F43" s="132">
        <f t="shared" si="5"/>
        <v>10800</v>
      </c>
      <c r="G43" s="132">
        <f t="shared" si="5"/>
        <v>13200</v>
      </c>
      <c r="H43" s="132">
        <f t="shared" si="5"/>
        <v>15600</v>
      </c>
      <c r="I43" s="132">
        <f t="shared" si="5"/>
        <v>18000</v>
      </c>
      <c r="J43" s="132">
        <f t="shared" si="5"/>
        <v>20400</v>
      </c>
      <c r="K43" s="132">
        <f t="shared" si="5"/>
        <v>22800</v>
      </c>
      <c r="L43" s="132">
        <f t="shared" si="5"/>
        <v>25200</v>
      </c>
      <c r="M43" s="132">
        <f t="shared" si="5"/>
        <v>27600</v>
      </c>
      <c r="N43" s="132">
        <f t="shared" si="5"/>
        <v>30000</v>
      </c>
      <c r="O43" s="130">
        <f t="shared" si="4"/>
        <v>198000</v>
      </c>
    </row>
    <row r="44" spans="2:15" ht="15" customHeight="1">
      <c r="B44" s="131" t="s">
        <v>96</v>
      </c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0"/>
    </row>
    <row r="45" spans="2:15">
      <c r="B45" s="131" t="s">
        <v>97</v>
      </c>
      <c r="C45" s="129">
        <f t="shared" ref="C45:N45" si="6">C38*$I$20</f>
        <v>1200</v>
      </c>
      <c r="D45" s="129">
        <f t="shared" si="6"/>
        <v>1200</v>
      </c>
      <c r="E45" s="129">
        <f t="shared" si="6"/>
        <v>1200</v>
      </c>
      <c r="F45" s="129">
        <f t="shared" si="6"/>
        <v>1200</v>
      </c>
      <c r="G45" s="129">
        <f t="shared" si="6"/>
        <v>1200</v>
      </c>
      <c r="H45" s="129">
        <f t="shared" si="6"/>
        <v>1200</v>
      </c>
      <c r="I45" s="129">
        <f t="shared" si="6"/>
        <v>1200</v>
      </c>
      <c r="J45" s="129">
        <f t="shared" si="6"/>
        <v>1200</v>
      </c>
      <c r="K45" s="129">
        <f t="shared" si="6"/>
        <v>1200</v>
      </c>
      <c r="L45" s="129">
        <f t="shared" si="6"/>
        <v>1200</v>
      </c>
      <c r="M45" s="129">
        <f t="shared" si="6"/>
        <v>1200</v>
      </c>
      <c r="N45" s="129">
        <f t="shared" si="6"/>
        <v>1200</v>
      </c>
      <c r="O45" s="130">
        <f t="shared" si="4"/>
        <v>14400</v>
      </c>
    </row>
    <row r="46" spans="2:15">
      <c r="B46" s="133" t="s">
        <v>98</v>
      </c>
      <c r="C46" s="134">
        <f>SUM(C42:C45)</f>
        <v>9400</v>
      </c>
      <c r="D46" s="134">
        <f t="shared" ref="D46:N46" si="7">SUM(D42:D45)</f>
        <v>15400</v>
      </c>
      <c r="E46" s="134">
        <f t="shared" si="7"/>
        <v>17800</v>
      </c>
      <c r="F46" s="134">
        <f t="shared" si="7"/>
        <v>20200</v>
      </c>
      <c r="G46" s="134">
        <f t="shared" si="7"/>
        <v>22600</v>
      </c>
      <c r="H46" s="134">
        <f t="shared" si="7"/>
        <v>25000</v>
      </c>
      <c r="I46" s="134">
        <f t="shared" si="7"/>
        <v>27400</v>
      </c>
      <c r="J46" s="134">
        <f t="shared" si="7"/>
        <v>29800</v>
      </c>
      <c r="K46" s="134">
        <f t="shared" si="7"/>
        <v>32200</v>
      </c>
      <c r="L46" s="134">
        <f t="shared" si="7"/>
        <v>34600</v>
      </c>
      <c r="M46" s="134">
        <f t="shared" si="7"/>
        <v>37000</v>
      </c>
      <c r="N46" s="134">
        <f t="shared" si="7"/>
        <v>39400</v>
      </c>
      <c r="O46" s="130">
        <f>SUM(C46:N46)</f>
        <v>310800</v>
      </c>
    </row>
    <row r="47" spans="2:15">
      <c r="B47" s="135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30">
        <f t="shared" ref="O47:O57" si="8">SUM(C47:N47)</f>
        <v>0</v>
      </c>
    </row>
    <row r="48" spans="2:15">
      <c r="B48" s="120" t="s">
        <v>99</v>
      </c>
      <c r="C48" s="129">
        <v>0</v>
      </c>
      <c r="D48" s="129">
        <v>0</v>
      </c>
      <c r="E48" s="129">
        <v>0</v>
      </c>
      <c r="F48" s="129">
        <v>0</v>
      </c>
      <c r="G48" s="129">
        <v>0</v>
      </c>
      <c r="H48" s="129">
        <v>0</v>
      </c>
      <c r="I48" s="129">
        <v>0</v>
      </c>
      <c r="J48" s="129">
        <v>0</v>
      </c>
      <c r="K48" s="129">
        <v>0</v>
      </c>
      <c r="L48" s="129">
        <v>0</v>
      </c>
      <c r="M48" s="129">
        <v>0</v>
      </c>
      <c r="N48" s="129">
        <v>0</v>
      </c>
      <c r="O48" s="130">
        <f t="shared" si="8"/>
        <v>0</v>
      </c>
    </row>
    <row r="49" spans="2:16">
      <c r="B49" s="133" t="s">
        <v>100</v>
      </c>
      <c r="C49" s="134">
        <v>0</v>
      </c>
      <c r="D49" s="134">
        <v>0</v>
      </c>
      <c r="E49" s="134">
        <v>0</v>
      </c>
      <c r="F49" s="134">
        <v>0</v>
      </c>
      <c r="G49" s="134">
        <v>0</v>
      </c>
      <c r="H49" s="134">
        <v>0</v>
      </c>
      <c r="I49" s="134">
        <v>0</v>
      </c>
      <c r="J49" s="134">
        <v>0</v>
      </c>
      <c r="K49" s="134">
        <v>0</v>
      </c>
      <c r="L49" s="134">
        <v>0</v>
      </c>
      <c r="M49" s="134">
        <v>0</v>
      </c>
      <c r="N49" s="134">
        <v>0</v>
      </c>
      <c r="O49" s="130">
        <f t="shared" si="8"/>
        <v>0</v>
      </c>
    </row>
    <row r="50" spans="2:16">
      <c r="B50" s="120" t="s">
        <v>101</v>
      </c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30">
        <f t="shared" si="8"/>
        <v>0</v>
      </c>
    </row>
    <row r="51" spans="2:16">
      <c r="B51" s="122" t="s">
        <v>90</v>
      </c>
      <c r="C51" s="136">
        <v>10</v>
      </c>
      <c r="D51" s="136">
        <v>10</v>
      </c>
      <c r="E51" s="136">
        <v>10</v>
      </c>
      <c r="F51" s="123">
        <v>10</v>
      </c>
      <c r="G51" s="123">
        <v>10</v>
      </c>
      <c r="H51" s="123">
        <v>10</v>
      </c>
      <c r="I51" s="123">
        <v>10</v>
      </c>
      <c r="J51" s="123">
        <v>10</v>
      </c>
      <c r="K51" s="123">
        <v>10</v>
      </c>
      <c r="L51" s="123">
        <v>10</v>
      </c>
      <c r="M51" s="123">
        <v>10</v>
      </c>
      <c r="N51" s="137">
        <v>10</v>
      </c>
      <c r="O51" s="138">
        <f t="shared" si="8"/>
        <v>120</v>
      </c>
    </row>
    <row r="52" spans="2:16">
      <c r="B52" s="122" t="s">
        <v>91</v>
      </c>
      <c r="C52" s="139">
        <v>0</v>
      </c>
      <c r="D52" s="139">
        <v>10</v>
      </c>
      <c r="E52" s="139">
        <v>20</v>
      </c>
      <c r="F52" s="124">
        <v>30</v>
      </c>
      <c r="G52" s="124">
        <v>30</v>
      </c>
      <c r="H52" s="124">
        <v>30</v>
      </c>
      <c r="I52" s="124">
        <v>30</v>
      </c>
      <c r="J52" s="124">
        <v>30</v>
      </c>
      <c r="K52" s="124">
        <v>30</v>
      </c>
      <c r="L52" s="124">
        <v>30</v>
      </c>
      <c r="M52" s="124">
        <v>30</v>
      </c>
      <c r="N52" s="140">
        <v>30</v>
      </c>
      <c r="O52" s="138">
        <f t="shared" si="8"/>
        <v>300</v>
      </c>
    </row>
    <row r="53" spans="2:16">
      <c r="B53" s="122" t="s">
        <v>102</v>
      </c>
      <c r="C53" s="139">
        <v>0</v>
      </c>
      <c r="D53" s="139">
        <v>0</v>
      </c>
      <c r="E53" s="139">
        <v>0</v>
      </c>
      <c r="F53" s="124">
        <v>10</v>
      </c>
      <c r="G53" s="124">
        <v>10</v>
      </c>
      <c r="H53" s="124">
        <v>10</v>
      </c>
      <c r="I53" s="124">
        <v>10</v>
      </c>
      <c r="J53" s="124">
        <v>10</v>
      </c>
      <c r="K53" s="124">
        <v>10</v>
      </c>
      <c r="L53" s="124">
        <v>10</v>
      </c>
      <c r="M53" s="124">
        <v>10</v>
      </c>
      <c r="N53" s="140">
        <v>10</v>
      </c>
      <c r="O53" s="138">
        <f t="shared" si="8"/>
        <v>90</v>
      </c>
    </row>
    <row r="54" spans="2:16">
      <c r="B54" s="122" t="s">
        <v>92</v>
      </c>
      <c r="C54" s="141">
        <f>C51+C52-C53</f>
        <v>10</v>
      </c>
      <c r="D54" s="141">
        <f t="shared" ref="D54:N54" si="9">D51+D52-D53</f>
        <v>20</v>
      </c>
      <c r="E54" s="141">
        <f t="shared" si="9"/>
        <v>30</v>
      </c>
      <c r="F54" s="142">
        <f t="shared" si="9"/>
        <v>30</v>
      </c>
      <c r="G54" s="142">
        <f t="shared" si="9"/>
        <v>30</v>
      </c>
      <c r="H54" s="142">
        <f t="shared" si="9"/>
        <v>30</v>
      </c>
      <c r="I54" s="142">
        <f t="shared" si="9"/>
        <v>30</v>
      </c>
      <c r="J54" s="142">
        <f t="shared" si="9"/>
        <v>30</v>
      </c>
      <c r="K54" s="142">
        <f t="shared" si="9"/>
        <v>30</v>
      </c>
      <c r="L54" s="142">
        <f t="shared" si="9"/>
        <v>30</v>
      </c>
      <c r="M54" s="142">
        <f t="shared" si="9"/>
        <v>30</v>
      </c>
      <c r="N54" s="143">
        <f t="shared" si="9"/>
        <v>30</v>
      </c>
      <c r="O54" s="138">
        <f>SUM(C54:N54)</f>
        <v>330</v>
      </c>
    </row>
    <row r="55" spans="2:16">
      <c r="B55" s="131" t="s">
        <v>103</v>
      </c>
      <c r="C55" s="144">
        <f>$H$23*C54</f>
        <v>2490</v>
      </c>
      <c r="D55" s="144">
        <f t="shared" ref="D55:N55" si="10">$H$23*D54</f>
        <v>4980</v>
      </c>
      <c r="E55" s="144">
        <f>$H$23*E54</f>
        <v>7470</v>
      </c>
      <c r="F55" s="144">
        <f>$H$23*F54</f>
        <v>7470</v>
      </c>
      <c r="G55" s="144">
        <f t="shared" si="10"/>
        <v>7470</v>
      </c>
      <c r="H55" s="144">
        <f t="shared" si="10"/>
        <v>7470</v>
      </c>
      <c r="I55" s="144">
        <f t="shared" si="10"/>
        <v>7470</v>
      </c>
      <c r="J55" s="144">
        <f t="shared" si="10"/>
        <v>7470</v>
      </c>
      <c r="K55" s="144">
        <f t="shared" si="10"/>
        <v>7470</v>
      </c>
      <c r="L55" s="144">
        <f t="shared" si="10"/>
        <v>7470</v>
      </c>
      <c r="M55" s="144">
        <f t="shared" si="10"/>
        <v>7470</v>
      </c>
      <c r="N55" s="144">
        <f t="shared" si="10"/>
        <v>7470</v>
      </c>
      <c r="O55" s="130">
        <f t="shared" si="8"/>
        <v>82170</v>
      </c>
    </row>
    <row r="56" spans="2:16">
      <c r="B56" s="145"/>
      <c r="C56" s="129">
        <v>0</v>
      </c>
      <c r="D56" s="129">
        <v>0</v>
      </c>
      <c r="E56" s="129">
        <v>0</v>
      </c>
      <c r="F56" s="129">
        <v>0</v>
      </c>
      <c r="G56" s="129">
        <v>0</v>
      </c>
      <c r="H56" s="129">
        <v>0</v>
      </c>
      <c r="I56" s="129">
        <v>0</v>
      </c>
      <c r="J56" s="129">
        <v>0</v>
      </c>
      <c r="K56" s="129">
        <v>0</v>
      </c>
      <c r="L56" s="129">
        <v>0</v>
      </c>
      <c r="M56" s="129">
        <v>0</v>
      </c>
      <c r="N56" s="129">
        <v>0</v>
      </c>
      <c r="O56" s="130"/>
    </row>
    <row r="57" spans="2:16">
      <c r="B57" s="133" t="s">
        <v>104</v>
      </c>
      <c r="C57" s="134">
        <f>SUM(C55:C56)</f>
        <v>2490</v>
      </c>
      <c r="D57" s="134">
        <f t="shared" ref="D57:N57" si="11">SUM(D55:D56)</f>
        <v>4980</v>
      </c>
      <c r="E57" s="134">
        <f>SUM(E55:E56)</f>
        <v>7470</v>
      </c>
      <c r="F57" s="134">
        <f t="shared" si="11"/>
        <v>7470</v>
      </c>
      <c r="G57" s="134">
        <f t="shared" si="11"/>
        <v>7470</v>
      </c>
      <c r="H57" s="134">
        <f t="shared" si="11"/>
        <v>7470</v>
      </c>
      <c r="I57" s="134">
        <f t="shared" si="11"/>
        <v>7470</v>
      </c>
      <c r="J57" s="134">
        <f t="shared" si="11"/>
        <v>7470</v>
      </c>
      <c r="K57" s="134">
        <f t="shared" si="11"/>
        <v>7470</v>
      </c>
      <c r="L57" s="134">
        <f t="shared" si="11"/>
        <v>7470</v>
      </c>
      <c r="M57" s="134">
        <f t="shared" si="11"/>
        <v>7470</v>
      </c>
      <c r="N57" s="134">
        <f t="shared" si="11"/>
        <v>7470</v>
      </c>
      <c r="O57" s="130">
        <f t="shared" si="8"/>
        <v>82170</v>
      </c>
    </row>
    <row r="58" spans="2:16" ht="9.4" customHeight="1">
      <c r="B58" s="135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30"/>
    </row>
    <row r="59" spans="2:16" ht="26.65" customHeight="1">
      <c r="B59" s="138" t="s">
        <v>105</v>
      </c>
      <c r="C59" s="146">
        <f>C46+C49+C57</f>
        <v>11890</v>
      </c>
      <c r="D59" s="146">
        <f t="shared" ref="D59:N59" si="12">D46+D49+D57</f>
        <v>20380</v>
      </c>
      <c r="E59" s="146">
        <f t="shared" si="12"/>
        <v>25270</v>
      </c>
      <c r="F59" s="146">
        <f t="shared" si="12"/>
        <v>27670</v>
      </c>
      <c r="G59" s="146">
        <f t="shared" si="12"/>
        <v>30070</v>
      </c>
      <c r="H59" s="146">
        <f t="shared" si="12"/>
        <v>32470</v>
      </c>
      <c r="I59" s="146">
        <f t="shared" si="12"/>
        <v>34870</v>
      </c>
      <c r="J59" s="146">
        <f t="shared" si="12"/>
        <v>37270</v>
      </c>
      <c r="K59" s="146">
        <f t="shared" si="12"/>
        <v>39670</v>
      </c>
      <c r="L59" s="146">
        <f t="shared" si="12"/>
        <v>42070</v>
      </c>
      <c r="M59" s="146">
        <f t="shared" si="12"/>
        <v>44470</v>
      </c>
      <c r="N59" s="146">
        <f t="shared" si="12"/>
        <v>46870</v>
      </c>
      <c r="O59" s="147">
        <f t="shared" ref="O59:O116" si="13">SUM(C59:N59)</f>
        <v>392970</v>
      </c>
      <c r="P59" s="40"/>
    </row>
    <row r="60" spans="2:16" ht="18.399999999999999" hidden="1" customHeight="1"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40"/>
    </row>
    <row r="61" spans="2:16">
      <c r="B61" s="138" t="s">
        <v>106</v>
      </c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40"/>
    </row>
    <row r="62" spans="2:16">
      <c r="B62" s="1" t="s">
        <v>107</v>
      </c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40"/>
      <c r="P62" s="40"/>
    </row>
    <row r="63" spans="2:16">
      <c r="B63" s="135" t="s">
        <v>108</v>
      </c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40"/>
      <c r="P63" s="40"/>
    </row>
    <row r="64" spans="2:16">
      <c r="B64" s="150" t="s">
        <v>109</v>
      </c>
      <c r="C64" s="149">
        <f t="shared" ref="C64:N64" si="14">$C$23*$C$16</f>
        <v>4000</v>
      </c>
      <c r="D64" s="149">
        <f t="shared" si="14"/>
        <v>4000</v>
      </c>
      <c r="E64" s="149">
        <f t="shared" si="14"/>
        <v>4000</v>
      </c>
      <c r="F64" s="149">
        <f t="shared" si="14"/>
        <v>4000</v>
      </c>
      <c r="G64" s="149">
        <f t="shared" si="14"/>
        <v>4000</v>
      </c>
      <c r="H64" s="149">
        <f t="shared" si="14"/>
        <v>4000</v>
      </c>
      <c r="I64" s="149">
        <f t="shared" si="14"/>
        <v>4000</v>
      </c>
      <c r="J64" s="149">
        <f t="shared" si="14"/>
        <v>4000</v>
      </c>
      <c r="K64" s="149">
        <f t="shared" si="14"/>
        <v>4000</v>
      </c>
      <c r="L64" s="149">
        <f t="shared" si="14"/>
        <v>4000</v>
      </c>
      <c r="M64" s="149">
        <f t="shared" si="14"/>
        <v>4000</v>
      </c>
      <c r="N64" s="149">
        <f t="shared" si="14"/>
        <v>4000</v>
      </c>
      <c r="O64" s="40">
        <f t="shared" si="13"/>
        <v>48000</v>
      </c>
      <c r="P64" s="40"/>
    </row>
    <row r="65" spans="2:18">
      <c r="B65" s="151" t="s">
        <v>66</v>
      </c>
      <c r="C65" s="149">
        <f t="shared" ref="C65:N65" si="15">C64*$C$5</f>
        <v>1000</v>
      </c>
      <c r="D65" s="149">
        <f t="shared" si="15"/>
        <v>1000</v>
      </c>
      <c r="E65" s="149">
        <f t="shared" si="15"/>
        <v>1000</v>
      </c>
      <c r="F65" s="149">
        <f t="shared" si="15"/>
        <v>1000</v>
      </c>
      <c r="G65" s="149">
        <f t="shared" si="15"/>
        <v>1000</v>
      </c>
      <c r="H65" s="149">
        <f t="shared" si="15"/>
        <v>1000</v>
      </c>
      <c r="I65" s="149">
        <f t="shared" si="15"/>
        <v>1000</v>
      </c>
      <c r="J65" s="149">
        <f t="shared" si="15"/>
        <v>1000</v>
      </c>
      <c r="K65" s="149">
        <f t="shared" si="15"/>
        <v>1000</v>
      </c>
      <c r="L65" s="149">
        <f t="shared" si="15"/>
        <v>1000</v>
      </c>
      <c r="M65" s="149">
        <f t="shared" si="15"/>
        <v>1000</v>
      </c>
      <c r="N65" s="149">
        <f t="shared" si="15"/>
        <v>1000</v>
      </c>
      <c r="O65" s="40">
        <f t="shared" si="13"/>
        <v>12000</v>
      </c>
      <c r="P65" s="40"/>
    </row>
    <row r="66" spans="2:18">
      <c r="B66" s="150" t="s">
        <v>110</v>
      </c>
      <c r="C66" s="149">
        <f t="shared" ref="C66:N66" si="16">$C$17*$C$23</f>
        <v>3200</v>
      </c>
      <c r="D66" s="149">
        <f t="shared" si="16"/>
        <v>3200</v>
      </c>
      <c r="E66" s="149">
        <f t="shared" si="16"/>
        <v>3200</v>
      </c>
      <c r="F66" s="149">
        <f t="shared" si="16"/>
        <v>3200</v>
      </c>
      <c r="G66" s="149">
        <f t="shared" si="16"/>
        <v>3200</v>
      </c>
      <c r="H66" s="149">
        <f t="shared" si="16"/>
        <v>3200</v>
      </c>
      <c r="I66" s="149">
        <f t="shared" si="16"/>
        <v>3200</v>
      </c>
      <c r="J66" s="149">
        <f t="shared" si="16"/>
        <v>3200</v>
      </c>
      <c r="K66" s="149">
        <f t="shared" si="16"/>
        <v>3200</v>
      </c>
      <c r="L66" s="149">
        <f t="shared" si="16"/>
        <v>3200</v>
      </c>
      <c r="M66" s="149">
        <f t="shared" si="16"/>
        <v>3200</v>
      </c>
      <c r="N66" s="149">
        <f t="shared" si="16"/>
        <v>3200</v>
      </c>
      <c r="O66" s="40">
        <f t="shared" si="13"/>
        <v>38400</v>
      </c>
      <c r="P66" s="40"/>
    </row>
    <row r="67" spans="2:18">
      <c r="B67" s="151" t="s">
        <v>66</v>
      </c>
      <c r="C67" s="149">
        <f t="shared" ref="C67:N67" si="17">+C66*$C$5</f>
        <v>800</v>
      </c>
      <c r="D67" s="149">
        <f t="shared" si="17"/>
        <v>800</v>
      </c>
      <c r="E67" s="149">
        <f t="shared" si="17"/>
        <v>800</v>
      </c>
      <c r="F67" s="149">
        <f t="shared" si="17"/>
        <v>800</v>
      </c>
      <c r="G67" s="149">
        <f t="shared" si="17"/>
        <v>800</v>
      </c>
      <c r="H67" s="149">
        <f t="shared" si="17"/>
        <v>800</v>
      </c>
      <c r="I67" s="149">
        <f t="shared" si="17"/>
        <v>800</v>
      </c>
      <c r="J67" s="149">
        <f t="shared" si="17"/>
        <v>800</v>
      </c>
      <c r="K67" s="149">
        <f t="shared" si="17"/>
        <v>800</v>
      </c>
      <c r="L67" s="149">
        <f t="shared" si="17"/>
        <v>800</v>
      </c>
      <c r="M67" s="149">
        <f t="shared" si="17"/>
        <v>800</v>
      </c>
      <c r="N67" s="149">
        <f t="shared" si="17"/>
        <v>800</v>
      </c>
      <c r="O67" s="40">
        <f>SUM(C67:N67)</f>
        <v>9600</v>
      </c>
      <c r="P67" s="40"/>
      <c r="R67" s="152"/>
    </row>
    <row r="68" spans="2:18">
      <c r="B68" s="153" t="s">
        <v>111</v>
      </c>
      <c r="C68" s="154">
        <f t="shared" ref="C68:N68" si="18">IF(C40&gt;=$D$26, $C$20, $D$20)</f>
        <v>0</v>
      </c>
      <c r="D68" s="154">
        <f t="shared" si="18"/>
        <v>0</v>
      </c>
      <c r="E68" s="154">
        <f t="shared" si="18"/>
        <v>0</v>
      </c>
      <c r="F68" s="154">
        <f t="shared" si="18"/>
        <v>0</v>
      </c>
      <c r="G68" s="154">
        <f t="shared" si="18"/>
        <v>0</v>
      </c>
      <c r="H68" s="154">
        <f t="shared" si="18"/>
        <v>0</v>
      </c>
      <c r="I68" s="154">
        <f t="shared" si="18"/>
        <v>0</v>
      </c>
      <c r="J68" s="154">
        <f t="shared" si="18"/>
        <v>0</v>
      </c>
      <c r="K68" s="154">
        <f t="shared" si="18"/>
        <v>0</v>
      </c>
      <c r="L68" s="154">
        <f t="shared" si="18"/>
        <v>0</v>
      </c>
      <c r="M68" s="154">
        <f t="shared" si="18"/>
        <v>0</v>
      </c>
      <c r="N68" s="154">
        <f t="shared" si="18"/>
        <v>0</v>
      </c>
      <c r="O68" s="40">
        <f t="shared" si="13"/>
        <v>0</v>
      </c>
      <c r="P68" s="40"/>
    </row>
    <row r="69" spans="2:18">
      <c r="B69" s="151" t="s">
        <v>66</v>
      </c>
      <c r="C69" s="149">
        <f t="shared" ref="C69:N69" si="19">C68*$C$5</f>
        <v>0</v>
      </c>
      <c r="D69" s="149">
        <f t="shared" si="19"/>
        <v>0</v>
      </c>
      <c r="E69" s="149">
        <f t="shared" si="19"/>
        <v>0</v>
      </c>
      <c r="F69" s="149">
        <f t="shared" si="19"/>
        <v>0</v>
      </c>
      <c r="G69" s="149">
        <f t="shared" si="19"/>
        <v>0</v>
      </c>
      <c r="H69" s="149">
        <f t="shared" si="19"/>
        <v>0</v>
      </c>
      <c r="I69" s="149">
        <f t="shared" si="19"/>
        <v>0</v>
      </c>
      <c r="J69" s="149">
        <f t="shared" si="19"/>
        <v>0</v>
      </c>
      <c r="K69" s="149">
        <f t="shared" si="19"/>
        <v>0</v>
      </c>
      <c r="L69" s="149">
        <f t="shared" si="19"/>
        <v>0</v>
      </c>
      <c r="M69" s="149">
        <f t="shared" si="19"/>
        <v>0</v>
      </c>
      <c r="N69" s="149">
        <f t="shared" si="19"/>
        <v>0</v>
      </c>
      <c r="O69" s="40">
        <f t="shared" si="13"/>
        <v>0</v>
      </c>
      <c r="P69" s="40"/>
    </row>
    <row r="70" spans="2:18">
      <c r="B70" s="153" t="s">
        <v>112</v>
      </c>
      <c r="C70" s="154">
        <f>IF(C40&gt;=$E$26, $C$20, $D$20)</f>
        <v>0</v>
      </c>
      <c r="D70" s="154">
        <f t="shared" ref="D70:N70" si="20">IF(D40&gt;=$E$26, $C$20, $D$20)</f>
        <v>0</v>
      </c>
      <c r="E70" s="154">
        <f t="shared" si="20"/>
        <v>0</v>
      </c>
      <c r="F70" s="154">
        <f t="shared" si="20"/>
        <v>0</v>
      </c>
      <c r="G70" s="154">
        <f t="shared" si="20"/>
        <v>0</v>
      </c>
      <c r="H70" s="154">
        <f t="shared" si="20"/>
        <v>0</v>
      </c>
      <c r="I70" s="154">
        <f t="shared" si="20"/>
        <v>0</v>
      </c>
      <c r="J70" s="154">
        <f t="shared" si="20"/>
        <v>0</v>
      </c>
      <c r="K70" s="154">
        <f t="shared" si="20"/>
        <v>0</v>
      </c>
      <c r="L70" s="154">
        <f t="shared" si="20"/>
        <v>0</v>
      </c>
      <c r="M70" s="154">
        <f t="shared" si="20"/>
        <v>0</v>
      </c>
      <c r="N70" s="154">
        <f t="shared" si="20"/>
        <v>0</v>
      </c>
      <c r="O70" s="40">
        <f t="shared" si="13"/>
        <v>0</v>
      </c>
      <c r="P70" s="40"/>
    </row>
    <row r="71" spans="2:18">
      <c r="B71" s="151" t="s">
        <v>66</v>
      </c>
      <c r="C71" s="149">
        <f t="shared" ref="C71:N71" si="21">C70*$C$5</f>
        <v>0</v>
      </c>
      <c r="D71" s="149">
        <f t="shared" si="21"/>
        <v>0</v>
      </c>
      <c r="E71" s="149">
        <f t="shared" si="21"/>
        <v>0</v>
      </c>
      <c r="F71" s="149">
        <f t="shared" si="21"/>
        <v>0</v>
      </c>
      <c r="G71" s="149">
        <f t="shared" si="21"/>
        <v>0</v>
      </c>
      <c r="H71" s="149">
        <f t="shared" si="21"/>
        <v>0</v>
      </c>
      <c r="I71" s="149">
        <f t="shared" si="21"/>
        <v>0</v>
      </c>
      <c r="J71" s="149">
        <f t="shared" si="21"/>
        <v>0</v>
      </c>
      <c r="K71" s="149">
        <f t="shared" si="21"/>
        <v>0</v>
      </c>
      <c r="L71" s="149">
        <f t="shared" si="21"/>
        <v>0</v>
      </c>
      <c r="M71" s="149">
        <f t="shared" si="21"/>
        <v>0</v>
      </c>
      <c r="N71" s="149">
        <f t="shared" si="21"/>
        <v>0</v>
      </c>
      <c r="O71" s="40">
        <f t="shared" si="13"/>
        <v>0</v>
      </c>
      <c r="P71" s="40"/>
    </row>
    <row r="72" spans="2:18">
      <c r="B72" s="153" t="s">
        <v>113</v>
      </c>
      <c r="C72" s="154">
        <f>IF(C40&gt;=$E$27, $C$20, $D$20)</f>
        <v>0</v>
      </c>
      <c r="D72" s="154">
        <f t="shared" ref="D72:N72" si="22">IF(D40&gt;=$E$27, $C$20, $D$20)</f>
        <v>0</v>
      </c>
      <c r="E72" s="154">
        <f t="shared" si="22"/>
        <v>0</v>
      </c>
      <c r="F72" s="154">
        <f t="shared" si="22"/>
        <v>0</v>
      </c>
      <c r="G72" s="154">
        <f t="shared" si="22"/>
        <v>0</v>
      </c>
      <c r="H72" s="154">
        <f t="shared" si="22"/>
        <v>0</v>
      </c>
      <c r="I72" s="154">
        <f t="shared" si="22"/>
        <v>0</v>
      </c>
      <c r="J72" s="154">
        <f t="shared" si="22"/>
        <v>0</v>
      </c>
      <c r="K72" s="154">
        <f t="shared" si="22"/>
        <v>0</v>
      </c>
      <c r="L72" s="154">
        <f t="shared" si="22"/>
        <v>0</v>
      </c>
      <c r="M72" s="154">
        <f t="shared" si="22"/>
        <v>0</v>
      </c>
      <c r="N72" s="154">
        <f t="shared" si="22"/>
        <v>0</v>
      </c>
      <c r="O72" s="40">
        <f t="shared" si="13"/>
        <v>0</v>
      </c>
      <c r="P72" s="40"/>
    </row>
    <row r="73" spans="2:18">
      <c r="B73" s="151" t="s">
        <v>66</v>
      </c>
      <c r="C73" s="149">
        <f t="shared" ref="C73:N73" si="23">C72*$C$5</f>
        <v>0</v>
      </c>
      <c r="D73" s="149">
        <f t="shared" si="23"/>
        <v>0</v>
      </c>
      <c r="E73" s="149">
        <f t="shared" si="23"/>
        <v>0</v>
      </c>
      <c r="F73" s="149">
        <f t="shared" si="23"/>
        <v>0</v>
      </c>
      <c r="G73" s="149">
        <f t="shared" si="23"/>
        <v>0</v>
      </c>
      <c r="H73" s="149">
        <f t="shared" si="23"/>
        <v>0</v>
      </c>
      <c r="I73" s="149">
        <f t="shared" si="23"/>
        <v>0</v>
      </c>
      <c r="J73" s="149">
        <f t="shared" si="23"/>
        <v>0</v>
      </c>
      <c r="K73" s="149">
        <f t="shared" si="23"/>
        <v>0</v>
      </c>
      <c r="L73" s="149">
        <f t="shared" si="23"/>
        <v>0</v>
      </c>
      <c r="M73" s="149">
        <f t="shared" si="23"/>
        <v>0</v>
      </c>
      <c r="N73" s="149">
        <f t="shared" si="23"/>
        <v>0</v>
      </c>
      <c r="O73" s="40">
        <f t="shared" si="13"/>
        <v>0</v>
      </c>
      <c r="P73" s="40"/>
    </row>
    <row r="74" spans="2:18" ht="15" customHeight="1">
      <c r="B74" s="155" t="s">
        <v>114</v>
      </c>
      <c r="C74" s="156">
        <f>$I$18*0.5</f>
        <v>1250</v>
      </c>
      <c r="D74" s="156">
        <f t="shared" ref="D74:N74" si="24">$I$18*0.5</f>
        <v>1250</v>
      </c>
      <c r="E74" s="156">
        <f t="shared" si="24"/>
        <v>1250</v>
      </c>
      <c r="F74" s="156">
        <f t="shared" si="24"/>
        <v>1250</v>
      </c>
      <c r="G74" s="156">
        <f t="shared" si="24"/>
        <v>1250</v>
      </c>
      <c r="H74" s="156">
        <f t="shared" si="24"/>
        <v>1250</v>
      </c>
      <c r="I74" s="156">
        <f t="shared" si="24"/>
        <v>1250</v>
      </c>
      <c r="J74" s="156">
        <f t="shared" si="24"/>
        <v>1250</v>
      </c>
      <c r="K74" s="156">
        <f t="shared" si="24"/>
        <v>1250</v>
      </c>
      <c r="L74" s="156">
        <f t="shared" si="24"/>
        <v>1250</v>
      </c>
      <c r="M74" s="156">
        <f t="shared" si="24"/>
        <v>1250</v>
      </c>
      <c r="N74" s="156">
        <f t="shared" si="24"/>
        <v>1250</v>
      </c>
      <c r="O74" s="40">
        <f t="shared" si="13"/>
        <v>15000</v>
      </c>
    </row>
    <row r="75" spans="2:18">
      <c r="B75" s="135" t="s">
        <v>115</v>
      </c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40"/>
      <c r="P75" s="40"/>
    </row>
    <row r="76" spans="2:18">
      <c r="B76" s="131" t="s">
        <v>116</v>
      </c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40"/>
      <c r="P76" s="40"/>
    </row>
    <row r="77" spans="2:18">
      <c r="B77" s="157" t="s">
        <v>117</v>
      </c>
      <c r="C77" s="149">
        <f t="shared" ref="C77:K77" si="25">$C$7*$C$6</f>
        <v>800</v>
      </c>
      <c r="D77" s="149">
        <f t="shared" si="25"/>
        <v>800</v>
      </c>
      <c r="E77" s="149">
        <f t="shared" si="25"/>
        <v>800</v>
      </c>
      <c r="F77" s="149">
        <f t="shared" si="25"/>
        <v>800</v>
      </c>
      <c r="G77" s="149">
        <f t="shared" si="25"/>
        <v>800</v>
      </c>
      <c r="H77" s="149">
        <f t="shared" si="25"/>
        <v>800</v>
      </c>
      <c r="I77" s="149">
        <f t="shared" si="25"/>
        <v>800</v>
      </c>
      <c r="J77" s="149">
        <f t="shared" si="25"/>
        <v>800</v>
      </c>
      <c r="K77" s="149">
        <f t="shared" si="25"/>
        <v>800</v>
      </c>
      <c r="L77" s="149">
        <f>$C$7*$D$6</f>
        <v>1200</v>
      </c>
      <c r="M77" s="149">
        <f>$C$7*$D$6</f>
        <v>1200</v>
      </c>
      <c r="N77" s="149">
        <f>$C$7*$D$6</f>
        <v>1200</v>
      </c>
      <c r="O77" s="40">
        <f t="shared" si="13"/>
        <v>10800</v>
      </c>
      <c r="P77" s="40"/>
    </row>
    <row r="78" spans="2:18">
      <c r="B78" s="157" t="s">
        <v>72</v>
      </c>
      <c r="C78" s="149">
        <f t="shared" ref="C78:K78" si="26">$C$8*$C$6</f>
        <v>300</v>
      </c>
      <c r="D78" s="149">
        <f t="shared" si="26"/>
        <v>300</v>
      </c>
      <c r="E78" s="149">
        <f t="shared" si="26"/>
        <v>300</v>
      </c>
      <c r="F78" s="149">
        <f t="shared" si="26"/>
        <v>300</v>
      </c>
      <c r="G78" s="149">
        <f t="shared" si="26"/>
        <v>300</v>
      </c>
      <c r="H78" s="149">
        <f t="shared" si="26"/>
        <v>300</v>
      </c>
      <c r="I78" s="149">
        <f t="shared" si="26"/>
        <v>300</v>
      </c>
      <c r="J78" s="149">
        <f t="shared" si="26"/>
        <v>300</v>
      </c>
      <c r="K78" s="149">
        <f t="shared" si="26"/>
        <v>300</v>
      </c>
      <c r="L78" s="149">
        <f>$C$8*$D$6</f>
        <v>450</v>
      </c>
      <c r="M78" s="149">
        <f>$C$8*$D$6</f>
        <v>450</v>
      </c>
      <c r="N78" s="149">
        <f>$C$8*$D$6</f>
        <v>450</v>
      </c>
      <c r="O78" s="40">
        <f t="shared" si="13"/>
        <v>4050</v>
      </c>
      <c r="P78" s="40"/>
    </row>
    <row r="79" spans="2:18">
      <c r="B79" s="157" t="s">
        <v>75</v>
      </c>
      <c r="C79" s="149">
        <f t="shared" ref="C79:K79" si="27">$C$9*$C$6</f>
        <v>400</v>
      </c>
      <c r="D79" s="149">
        <f t="shared" si="27"/>
        <v>400</v>
      </c>
      <c r="E79" s="149">
        <f t="shared" si="27"/>
        <v>400</v>
      </c>
      <c r="F79" s="149">
        <f t="shared" si="27"/>
        <v>400</v>
      </c>
      <c r="G79" s="149">
        <f t="shared" si="27"/>
        <v>400</v>
      </c>
      <c r="H79" s="149">
        <f t="shared" si="27"/>
        <v>400</v>
      </c>
      <c r="I79" s="149">
        <f t="shared" si="27"/>
        <v>400</v>
      </c>
      <c r="J79" s="149">
        <f t="shared" si="27"/>
        <v>400</v>
      </c>
      <c r="K79" s="149">
        <f t="shared" si="27"/>
        <v>400</v>
      </c>
      <c r="L79" s="149">
        <f>$C$9*$D$6</f>
        <v>600</v>
      </c>
      <c r="M79" s="149">
        <f>$C$9*$D$6</f>
        <v>600</v>
      </c>
      <c r="N79" s="149">
        <f>$C$9*$D$6</f>
        <v>600</v>
      </c>
      <c r="O79" s="40">
        <f t="shared" si="13"/>
        <v>5400</v>
      </c>
      <c r="P79" s="40"/>
    </row>
    <row r="80" spans="2:18">
      <c r="B80" s="131" t="s">
        <v>77</v>
      </c>
      <c r="C80" s="149">
        <f t="shared" ref="C80:K80" si="28">$C$10*$C$11</f>
        <v>200</v>
      </c>
      <c r="D80" s="149">
        <f t="shared" si="28"/>
        <v>200</v>
      </c>
      <c r="E80" s="149">
        <f t="shared" si="28"/>
        <v>200</v>
      </c>
      <c r="F80" s="149">
        <f t="shared" si="28"/>
        <v>200</v>
      </c>
      <c r="G80" s="149">
        <f t="shared" si="28"/>
        <v>200</v>
      </c>
      <c r="H80" s="149">
        <f t="shared" si="28"/>
        <v>200</v>
      </c>
      <c r="I80" s="149">
        <f t="shared" si="28"/>
        <v>200</v>
      </c>
      <c r="J80" s="149">
        <f t="shared" si="28"/>
        <v>200</v>
      </c>
      <c r="K80" s="149">
        <f t="shared" si="28"/>
        <v>200</v>
      </c>
      <c r="L80" s="149">
        <f>$D$10*$C$11</f>
        <v>300</v>
      </c>
      <c r="M80" s="149">
        <f>$D$10*$C$11</f>
        <v>300</v>
      </c>
      <c r="N80" s="149">
        <f>$D$10*$C$11</f>
        <v>300</v>
      </c>
      <c r="O80" s="40">
        <f t="shared" si="13"/>
        <v>2700</v>
      </c>
      <c r="P80" s="40"/>
    </row>
    <row r="81" spans="2:26">
      <c r="B81" s="131" t="s">
        <v>118</v>
      </c>
      <c r="C81" s="149">
        <v>100</v>
      </c>
      <c r="D81" s="149">
        <v>100</v>
      </c>
      <c r="E81" s="149">
        <v>100</v>
      </c>
      <c r="F81" s="149">
        <v>100</v>
      </c>
      <c r="G81" s="149">
        <v>100</v>
      </c>
      <c r="H81" s="149">
        <v>100</v>
      </c>
      <c r="I81" s="149">
        <v>100</v>
      </c>
      <c r="J81" s="149">
        <v>100</v>
      </c>
      <c r="K81" s="149">
        <v>100</v>
      </c>
      <c r="L81" s="149">
        <v>100</v>
      </c>
      <c r="M81" s="149">
        <v>100</v>
      </c>
      <c r="N81" s="149">
        <v>100</v>
      </c>
      <c r="O81" s="40">
        <f t="shared" si="13"/>
        <v>1200</v>
      </c>
      <c r="P81" s="40"/>
    </row>
    <row r="82" spans="2:26">
      <c r="B82" s="131" t="s">
        <v>119</v>
      </c>
      <c r="C82" s="149">
        <f>(500+200+300)/12</f>
        <v>83.333333333333329</v>
      </c>
      <c r="D82" s="149">
        <f t="shared" ref="D82:N82" si="29">(500+200+300)/12</f>
        <v>83.333333333333329</v>
      </c>
      <c r="E82" s="149">
        <f t="shared" si="29"/>
        <v>83.333333333333329</v>
      </c>
      <c r="F82" s="149">
        <f t="shared" si="29"/>
        <v>83.333333333333329</v>
      </c>
      <c r="G82" s="149">
        <f t="shared" si="29"/>
        <v>83.333333333333329</v>
      </c>
      <c r="H82" s="149">
        <f t="shared" si="29"/>
        <v>83.333333333333329</v>
      </c>
      <c r="I82" s="149">
        <f t="shared" si="29"/>
        <v>83.333333333333329</v>
      </c>
      <c r="J82" s="149">
        <f t="shared" si="29"/>
        <v>83.333333333333329</v>
      </c>
      <c r="K82" s="149">
        <f t="shared" si="29"/>
        <v>83.333333333333329</v>
      </c>
      <c r="L82" s="149">
        <f t="shared" si="29"/>
        <v>83.333333333333329</v>
      </c>
      <c r="M82" s="149">
        <f t="shared" si="29"/>
        <v>83.333333333333329</v>
      </c>
      <c r="N82" s="149">
        <f t="shared" si="29"/>
        <v>83.333333333333329</v>
      </c>
      <c r="O82" s="40">
        <f t="shared" si="13"/>
        <v>1000.0000000000001</v>
      </c>
      <c r="P82" s="40"/>
      <c r="Y82" s="1">
        <f>130000*0.15</f>
        <v>19500</v>
      </c>
    </row>
    <row r="83" spans="2:26">
      <c r="B83" s="133" t="s">
        <v>120</v>
      </c>
      <c r="C83" s="149">
        <f t="shared" ref="C83:N83" si="30">SUM(C64:C69)+SUM(C74:C74)+SUM(C77:C82)</f>
        <v>12133.333333333334</v>
      </c>
      <c r="D83" s="149">
        <f t="shared" si="30"/>
        <v>12133.333333333334</v>
      </c>
      <c r="E83" s="149">
        <f t="shared" si="30"/>
        <v>12133.333333333334</v>
      </c>
      <c r="F83" s="149">
        <f t="shared" si="30"/>
        <v>12133.333333333334</v>
      </c>
      <c r="G83" s="149">
        <f t="shared" si="30"/>
        <v>12133.333333333334</v>
      </c>
      <c r="H83" s="149">
        <f t="shared" si="30"/>
        <v>12133.333333333334</v>
      </c>
      <c r="I83" s="149">
        <f t="shared" si="30"/>
        <v>12133.333333333334</v>
      </c>
      <c r="J83" s="149">
        <f t="shared" si="30"/>
        <v>12133.333333333334</v>
      </c>
      <c r="K83" s="149">
        <f t="shared" si="30"/>
        <v>12133.333333333334</v>
      </c>
      <c r="L83" s="149">
        <f t="shared" si="30"/>
        <v>12983.333333333334</v>
      </c>
      <c r="M83" s="149">
        <f t="shared" si="30"/>
        <v>12983.333333333334</v>
      </c>
      <c r="N83" s="149">
        <f t="shared" si="30"/>
        <v>12983.333333333334</v>
      </c>
      <c r="O83" s="40">
        <f t="shared" si="13"/>
        <v>148150</v>
      </c>
      <c r="P83" s="40"/>
      <c r="Y83" s="1">
        <v>130000</v>
      </c>
    </row>
    <row r="84" spans="2:26">
      <c r="B84" s="138" t="s">
        <v>121</v>
      </c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40"/>
      <c r="P84" s="40"/>
      <c r="Y84" s="1">
        <f>SUM(Y82:Y83)</f>
        <v>149500</v>
      </c>
      <c r="Z84" s="1">
        <v>77000</v>
      </c>
    </row>
    <row r="85" spans="2:26">
      <c r="B85" s="135" t="s">
        <v>108</v>
      </c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40"/>
      <c r="P85" s="40"/>
    </row>
    <row r="86" spans="2:26">
      <c r="B86" s="131" t="s">
        <v>122</v>
      </c>
      <c r="C86" s="149">
        <f t="shared" ref="C86:I86" si="31">($C$23*$C$18)*$D$18</f>
        <v>2432</v>
      </c>
      <c r="D86" s="149">
        <f t="shared" si="31"/>
        <v>2432</v>
      </c>
      <c r="E86" s="149">
        <f t="shared" si="31"/>
        <v>2432</v>
      </c>
      <c r="F86" s="149">
        <f t="shared" si="31"/>
        <v>2432</v>
      </c>
      <c r="G86" s="149">
        <f t="shared" si="31"/>
        <v>2432</v>
      </c>
      <c r="H86" s="149">
        <f t="shared" si="31"/>
        <v>2432</v>
      </c>
      <c r="I86" s="149">
        <f t="shared" si="31"/>
        <v>2432</v>
      </c>
      <c r="J86" s="149">
        <f>(($C$23*$C$18)*$D$18)*(1+$C$13)</f>
        <v>2504.96</v>
      </c>
      <c r="K86" s="149">
        <f>(($C$23*$C$18)*$D$18)*(1+$C$13)</f>
        <v>2504.96</v>
      </c>
      <c r="L86" s="149">
        <f>(($C$23*$C$18)*$D$18)*(1+$C$13)</f>
        <v>2504.96</v>
      </c>
      <c r="M86" s="149">
        <f>(($C$23*$C$18)*$D$18)*(1+$C$13)</f>
        <v>2504.96</v>
      </c>
      <c r="N86" s="149">
        <f>(($C$23*$C$18)*$D$18)*(1+$C$13)</f>
        <v>2504.96</v>
      </c>
      <c r="O86" s="40">
        <f t="shared" si="13"/>
        <v>29548.799999999996</v>
      </c>
      <c r="P86" s="40"/>
    </row>
    <row r="87" spans="2:26">
      <c r="B87" s="158" t="s">
        <v>66</v>
      </c>
      <c r="C87" s="149">
        <f t="shared" ref="C87:N87" si="32">C86*$C$5</f>
        <v>608</v>
      </c>
      <c r="D87" s="149">
        <f t="shared" si="32"/>
        <v>608</v>
      </c>
      <c r="E87" s="149">
        <f t="shared" si="32"/>
        <v>608</v>
      </c>
      <c r="F87" s="149">
        <f t="shared" si="32"/>
        <v>608</v>
      </c>
      <c r="G87" s="149">
        <f t="shared" si="32"/>
        <v>608</v>
      </c>
      <c r="H87" s="149">
        <f t="shared" si="32"/>
        <v>608</v>
      </c>
      <c r="I87" s="149">
        <f t="shared" si="32"/>
        <v>608</v>
      </c>
      <c r="J87" s="149">
        <f t="shared" si="32"/>
        <v>626.24</v>
      </c>
      <c r="K87" s="149">
        <f t="shared" si="32"/>
        <v>626.24</v>
      </c>
      <c r="L87" s="149">
        <f t="shared" si="32"/>
        <v>626.24</v>
      </c>
      <c r="M87" s="149">
        <f t="shared" si="32"/>
        <v>626.24</v>
      </c>
      <c r="N87" s="149">
        <f t="shared" si="32"/>
        <v>626.24</v>
      </c>
      <c r="O87" s="40">
        <f t="shared" si="13"/>
        <v>7387.1999999999989</v>
      </c>
      <c r="P87" s="40"/>
      <c r="Y87" s="1">
        <f>Y84/12</f>
        <v>12458.333333333334</v>
      </c>
      <c r="Z87" s="1">
        <f>Z84/0.25</f>
        <v>308000</v>
      </c>
    </row>
    <row r="88" spans="2:26">
      <c r="B88" s="131" t="s">
        <v>123</v>
      </c>
      <c r="C88" s="149">
        <f t="shared" ref="C88:I88" si="33">($C$23*$C$19)*$D$19</f>
        <v>1392</v>
      </c>
      <c r="D88" s="149">
        <f t="shared" si="33"/>
        <v>1392</v>
      </c>
      <c r="E88" s="149">
        <f t="shared" si="33"/>
        <v>1392</v>
      </c>
      <c r="F88" s="149">
        <f t="shared" si="33"/>
        <v>1392</v>
      </c>
      <c r="G88" s="149">
        <f t="shared" si="33"/>
        <v>1392</v>
      </c>
      <c r="H88" s="149">
        <f t="shared" si="33"/>
        <v>1392</v>
      </c>
      <c r="I88" s="149">
        <f t="shared" si="33"/>
        <v>1392</v>
      </c>
      <c r="J88" s="149">
        <f>(($C$23*$C$19)*$D$19)*(1+$C$13)</f>
        <v>1433.76</v>
      </c>
      <c r="K88" s="149">
        <f>(($C$23*$C$19)*$D$19)*(1+$C$13)</f>
        <v>1433.76</v>
      </c>
      <c r="L88" s="149">
        <f>(($C$23*$C$19)*$D$19)*(1+$C$13)</f>
        <v>1433.76</v>
      </c>
      <c r="M88" s="149">
        <f>(($C$23*$C$19)*$D$19)*(1+$C$13)</f>
        <v>1433.76</v>
      </c>
      <c r="N88" s="149">
        <f>(($C$23*$C$19)*$D$19)*(1+$C$13)</f>
        <v>1433.76</v>
      </c>
      <c r="O88" s="40">
        <f t="shared" si="13"/>
        <v>16912.8</v>
      </c>
      <c r="P88" s="40"/>
      <c r="V88" s="159">
        <f>O88*4</f>
        <v>67651.199999999997</v>
      </c>
    </row>
    <row r="89" spans="2:26">
      <c r="B89" s="158" t="s">
        <v>66</v>
      </c>
      <c r="C89" s="149">
        <f t="shared" ref="C89:N89" si="34">C88*$C$5</f>
        <v>348</v>
      </c>
      <c r="D89" s="149">
        <f t="shared" si="34"/>
        <v>348</v>
      </c>
      <c r="E89" s="149">
        <f t="shared" si="34"/>
        <v>348</v>
      </c>
      <c r="F89" s="149">
        <f t="shared" si="34"/>
        <v>348</v>
      </c>
      <c r="G89" s="149">
        <f t="shared" si="34"/>
        <v>348</v>
      </c>
      <c r="H89" s="149">
        <f t="shared" si="34"/>
        <v>348</v>
      </c>
      <c r="I89" s="149">
        <f t="shared" si="34"/>
        <v>348</v>
      </c>
      <c r="J89" s="149">
        <f t="shared" si="34"/>
        <v>358.44</v>
      </c>
      <c r="K89" s="149">
        <f t="shared" si="34"/>
        <v>358.44</v>
      </c>
      <c r="L89" s="149">
        <f t="shared" si="34"/>
        <v>358.44</v>
      </c>
      <c r="M89" s="149">
        <f t="shared" si="34"/>
        <v>358.44</v>
      </c>
      <c r="N89" s="149">
        <f t="shared" si="34"/>
        <v>358.44</v>
      </c>
      <c r="O89" s="40">
        <f t="shared" si="13"/>
        <v>4228.2</v>
      </c>
      <c r="P89" s="40"/>
    </row>
    <row r="90" spans="2:26" hidden="1">
      <c r="B90" s="160" t="s">
        <v>115</v>
      </c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40"/>
      <c r="P90" s="40"/>
    </row>
    <row r="91" spans="2:26" hidden="1">
      <c r="C91" s="161">
        <v>0</v>
      </c>
      <c r="D91" s="161">
        <v>0</v>
      </c>
      <c r="E91" s="161">
        <v>0</v>
      </c>
      <c r="F91" s="161">
        <v>0</v>
      </c>
      <c r="G91" s="161">
        <v>0</v>
      </c>
      <c r="H91" s="161">
        <v>0</v>
      </c>
      <c r="I91" s="161">
        <v>0</v>
      </c>
      <c r="J91" s="161">
        <v>0</v>
      </c>
      <c r="K91" s="161">
        <v>0</v>
      </c>
      <c r="L91" s="161">
        <v>0</v>
      </c>
      <c r="M91" s="161">
        <v>0</v>
      </c>
      <c r="N91" s="161">
        <v>0</v>
      </c>
      <c r="O91" s="40"/>
      <c r="P91" s="40"/>
    </row>
    <row r="92" spans="2:26">
      <c r="B92" s="133" t="s">
        <v>124</v>
      </c>
      <c r="C92" s="161">
        <f t="shared" ref="C92:N92" si="35">SUM(C86:C89)+C82+C91</f>
        <v>4863.333333333333</v>
      </c>
      <c r="D92" s="161">
        <f t="shared" si="35"/>
        <v>4863.333333333333</v>
      </c>
      <c r="E92" s="161">
        <f t="shared" si="35"/>
        <v>4863.333333333333</v>
      </c>
      <c r="F92" s="161">
        <f t="shared" si="35"/>
        <v>4863.333333333333</v>
      </c>
      <c r="G92" s="161">
        <f t="shared" si="35"/>
        <v>4863.333333333333</v>
      </c>
      <c r="H92" s="161">
        <f t="shared" si="35"/>
        <v>4863.333333333333</v>
      </c>
      <c r="I92" s="161">
        <f t="shared" si="35"/>
        <v>4863.333333333333</v>
      </c>
      <c r="J92" s="161">
        <f t="shared" si="35"/>
        <v>5006.7333333333327</v>
      </c>
      <c r="K92" s="161">
        <f t="shared" si="35"/>
        <v>5006.7333333333327</v>
      </c>
      <c r="L92" s="161">
        <f t="shared" si="35"/>
        <v>5006.7333333333327</v>
      </c>
      <c r="M92" s="161">
        <f t="shared" si="35"/>
        <v>5006.7333333333327</v>
      </c>
      <c r="N92" s="161">
        <f t="shared" si="35"/>
        <v>5006.7333333333327</v>
      </c>
      <c r="O92" s="40">
        <f t="shared" si="13"/>
        <v>59076.999999999978</v>
      </c>
      <c r="P92" s="40"/>
    </row>
    <row r="93" spans="2:26">
      <c r="B93" s="138" t="s">
        <v>125</v>
      </c>
      <c r="C93" s="162">
        <f t="shared" ref="C93:N93" si="36">SUM(C83,C92)</f>
        <v>16996.666666666668</v>
      </c>
      <c r="D93" s="162">
        <f t="shared" si="36"/>
        <v>16996.666666666668</v>
      </c>
      <c r="E93" s="162">
        <f t="shared" si="36"/>
        <v>16996.666666666668</v>
      </c>
      <c r="F93" s="162">
        <f t="shared" si="36"/>
        <v>16996.666666666668</v>
      </c>
      <c r="G93" s="162">
        <f t="shared" si="36"/>
        <v>16996.666666666668</v>
      </c>
      <c r="H93" s="162">
        <f t="shared" si="36"/>
        <v>16996.666666666668</v>
      </c>
      <c r="I93" s="162">
        <f t="shared" si="36"/>
        <v>16996.666666666668</v>
      </c>
      <c r="J93" s="162">
        <f t="shared" si="36"/>
        <v>17140.066666666666</v>
      </c>
      <c r="K93" s="162">
        <f t="shared" si="36"/>
        <v>17140.066666666666</v>
      </c>
      <c r="L93" s="162">
        <f t="shared" si="36"/>
        <v>17990.066666666666</v>
      </c>
      <c r="M93" s="162">
        <f t="shared" si="36"/>
        <v>17990.066666666666</v>
      </c>
      <c r="N93" s="162">
        <f t="shared" si="36"/>
        <v>17990.066666666666</v>
      </c>
      <c r="O93" s="40">
        <f t="shared" si="13"/>
        <v>207226.99999999994</v>
      </c>
      <c r="P93" s="40"/>
    </row>
    <row r="94" spans="2:26">
      <c r="B94" s="163" t="s">
        <v>126</v>
      </c>
      <c r="C94" s="164">
        <f t="shared" ref="C94:N94" si="37">C93/C59</f>
        <v>1.429492570787777</v>
      </c>
      <c r="D94" s="164">
        <f t="shared" si="37"/>
        <v>0.83398756951259412</v>
      </c>
      <c r="E94" s="164">
        <f t="shared" si="37"/>
        <v>0.67260255902915189</v>
      </c>
      <c r="F94" s="164">
        <f t="shared" si="37"/>
        <v>0.61426334176605235</v>
      </c>
      <c r="G94" s="164">
        <f t="shared" si="37"/>
        <v>0.56523666999224031</v>
      </c>
      <c r="H94" s="164">
        <f t="shared" si="37"/>
        <v>0.52345755055949084</v>
      </c>
      <c r="I94" s="164">
        <f t="shared" si="37"/>
        <v>0.48742950004779662</v>
      </c>
      <c r="J94" s="164">
        <f t="shared" si="37"/>
        <v>0.45988909757624541</v>
      </c>
      <c r="K94" s="164">
        <f t="shared" si="37"/>
        <v>0.43206621292328373</v>
      </c>
      <c r="L94" s="164">
        <f t="shared" si="37"/>
        <v>0.42762221694002056</v>
      </c>
      <c r="M94" s="164">
        <f t="shared" si="37"/>
        <v>0.40454388726482271</v>
      </c>
      <c r="N94" s="164">
        <f t="shared" si="37"/>
        <v>0.38382903065215845</v>
      </c>
      <c r="O94" s="165"/>
    </row>
    <row r="95" spans="2:26">
      <c r="B95" s="138" t="s">
        <v>127</v>
      </c>
      <c r="C95" s="166">
        <f t="shared" ref="C95:N95" si="38">C59-C93</f>
        <v>-5106.6666666666679</v>
      </c>
      <c r="D95" s="166">
        <f t="shared" si="38"/>
        <v>3383.3333333333321</v>
      </c>
      <c r="E95" s="166">
        <f t="shared" si="38"/>
        <v>8273.3333333333321</v>
      </c>
      <c r="F95" s="166">
        <f t="shared" si="38"/>
        <v>10673.333333333332</v>
      </c>
      <c r="G95" s="166">
        <f t="shared" si="38"/>
        <v>13073.333333333332</v>
      </c>
      <c r="H95" s="166">
        <f t="shared" si="38"/>
        <v>15473.333333333332</v>
      </c>
      <c r="I95" s="166">
        <f t="shared" si="38"/>
        <v>17873.333333333332</v>
      </c>
      <c r="J95" s="166">
        <f t="shared" si="38"/>
        <v>20129.933333333334</v>
      </c>
      <c r="K95" s="166">
        <f t="shared" si="38"/>
        <v>22529.933333333334</v>
      </c>
      <c r="L95" s="166">
        <f t="shared" si="38"/>
        <v>24079.933333333334</v>
      </c>
      <c r="M95" s="166">
        <f t="shared" si="38"/>
        <v>26479.933333333334</v>
      </c>
      <c r="N95" s="166">
        <f t="shared" si="38"/>
        <v>28879.933333333334</v>
      </c>
      <c r="O95" s="167">
        <f t="shared" si="13"/>
        <v>185743</v>
      </c>
      <c r="P95" s="40"/>
    </row>
    <row r="96" spans="2:26">
      <c r="B96" s="138" t="s">
        <v>128</v>
      </c>
      <c r="C96" s="168">
        <f t="shared" ref="C96:O96" si="39">C95/C59</f>
        <v>-0.42949257078777697</v>
      </c>
      <c r="D96" s="168">
        <f t="shared" si="39"/>
        <v>0.16601243048740588</v>
      </c>
      <c r="E96" s="168">
        <f t="shared" si="39"/>
        <v>0.32739744097084811</v>
      </c>
      <c r="F96" s="168">
        <f t="shared" si="39"/>
        <v>0.38573665823394765</v>
      </c>
      <c r="G96" s="168">
        <f t="shared" si="39"/>
        <v>0.43476333000775963</v>
      </c>
      <c r="H96" s="168">
        <f t="shared" si="39"/>
        <v>0.47654244944050916</v>
      </c>
      <c r="I96" s="168">
        <f t="shared" si="39"/>
        <v>0.51257049995220338</v>
      </c>
      <c r="J96" s="168">
        <f t="shared" si="39"/>
        <v>0.54011090242375459</v>
      </c>
      <c r="K96" s="168">
        <f t="shared" si="39"/>
        <v>0.56793378707671627</v>
      </c>
      <c r="L96" s="168">
        <f t="shared" si="39"/>
        <v>0.57237778305997944</v>
      </c>
      <c r="M96" s="168">
        <f t="shared" si="39"/>
        <v>0.59545611273517729</v>
      </c>
      <c r="N96" s="168">
        <f t="shared" si="39"/>
        <v>0.61617096934784155</v>
      </c>
      <c r="O96" s="169">
        <f t="shared" si="39"/>
        <v>0.47266457999338374</v>
      </c>
      <c r="P96" s="170"/>
    </row>
    <row r="97" spans="2:16" ht="7.9" customHeight="1"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40"/>
    </row>
    <row r="98" spans="2:16">
      <c r="B98" s="138" t="s">
        <v>129</v>
      </c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40"/>
    </row>
    <row r="99" spans="2:16">
      <c r="B99" s="135" t="s">
        <v>130</v>
      </c>
      <c r="C99" s="171">
        <v>0</v>
      </c>
      <c r="D99" s="171">
        <v>0</v>
      </c>
      <c r="E99" s="171">
        <v>0</v>
      </c>
      <c r="F99" s="171">
        <v>0</v>
      </c>
      <c r="G99" s="171">
        <v>0</v>
      </c>
      <c r="H99" s="171">
        <v>0</v>
      </c>
      <c r="I99" s="171">
        <v>0</v>
      </c>
      <c r="J99" s="171">
        <v>0</v>
      </c>
      <c r="K99" s="171">
        <v>0</v>
      </c>
      <c r="L99" s="171">
        <v>0</v>
      </c>
      <c r="M99" s="171">
        <v>0</v>
      </c>
      <c r="N99" s="171">
        <v>0</v>
      </c>
      <c r="O99" s="40">
        <f t="shared" si="13"/>
        <v>0</v>
      </c>
    </row>
    <row r="100" spans="2:16">
      <c r="B100" s="131" t="s">
        <v>131</v>
      </c>
      <c r="C100" s="149">
        <v>0</v>
      </c>
      <c r="D100" s="149">
        <v>0</v>
      </c>
      <c r="E100" s="149">
        <v>0</v>
      </c>
      <c r="F100" s="149">
        <v>0</v>
      </c>
      <c r="G100" s="149">
        <v>0</v>
      </c>
      <c r="H100" s="149">
        <v>0</v>
      </c>
      <c r="I100" s="149">
        <v>0</v>
      </c>
      <c r="J100" s="149">
        <f t="shared" ref="J100:N100" si="40">$C$23*$C$22</f>
        <v>4800</v>
      </c>
      <c r="K100" s="149">
        <f t="shared" si="40"/>
        <v>4800</v>
      </c>
      <c r="L100" s="149">
        <f t="shared" si="40"/>
        <v>4800</v>
      </c>
      <c r="M100" s="149">
        <f t="shared" si="40"/>
        <v>4800</v>
      </c>
      <c r="N100" s="149">
        <f t="shared" si="40"/>
        <v>4800</v>
      </c>
      <c r="O100" s="40">
        <f t="shared" si="13"/>
        <v>24000</v>
      </c>
      <c r="P100" s="40"/>
    </row>
    <row r="101" spans="2:16">
      <c r="B101" s="158" t="s">
        <v>132</v>
      </c>
      <c r="C101" s="149">
        <v>0</v>
      </c>
      <c r="D101" s="149">
        <v>0</v>
      </c>
      <c r="E101" s="149">
        <v>0</v>
      </c>
      <c r="F101" s="149">
        <v>0</v>
      </c>
      <c r="G101" s="149">
        <v>0</v>
      </c>
      <c r="H101" s="149">
        <v>0</v>
      </c>
      <c r="I101" s="149">
        <v>0</v>
      </c>
      <c r="J101" s="149">
        <v>0</v>
      </c>
      <c r="K101" s="149">
        <v>0</v>
      </c>
      <c r="L101" s="149">
        <v>0</v>
      </c>
      <c r="M101" s="149">
        <v>0</v>
      </c>
      <c r="N101" s="149">
        <v>0</v>
      </c>
      <c r="O101" s="40"/>
      <c r="P101" s="40"/>
    </row>
    <row r="102" spans="2:16">
      <c r="B102" s="158" t="s">
        <v>66</v>
      </c>
      <c r="C102" s="172">
        <f t="shared" ref="C102:N102" si="41">C100*$C$5</f>
        <v>0</v>
      </c>
      <c r="D102" s="172">
        <f t="shared" si="41"/>
        <v>0</v>
      </c>
      <c r="E102" s="172">
        <f t="shared" si="41"/>
        <v>0</v>
      </c>
      <c r="F102" s="172">
        <f t="shared" si="41"/>
        <v>0</v>
      </c>
      <c r="G102" s="172">
        <f t="shared" si="41"/>
        <v>0</v>
      </c>
      <c r="H102" s="172">
        <f t="shared" si="41"/>
        <v>0</v>
      </c>
      <c r="I102" s="172">
        <f t="shared" si="41"/>
        <v>0</v>
      </c>
      <c r="J102" s="172">
        <f t="shared" si="41"/>
        <v>1200</v>
      </c>
      <c r="K102" s="172">
        <f t="shared" si="41"/>
        <v>1200</v>
      </c>
      <c r="L102" s="172">
        <f t="shared" si="41"/>
        <v>1200</v>
      </c>
      <c r="M102" s="172">
        <f t="shared" si="41"/>
        <v>1200</v>
      </c>
      <c r="N102" s="172">
        <f t="shared" si="41"/>
        <v>1200</v>
      </c>
      <c r="O102" s="40">
        <f t="shared" si="13"/>
        <v>6000</v>
      </c>
    </row>
    <row r="103" spans="2:16">
      <c r="B103" s="135" t="s">
        <v>133</v>
      </c>
      <c r="C103" s="173">
        <v>1500</v>
      </c>
      <c r="D103" s="173">
        <v>1500</v>
      </c>
      <c r="E103" s="173">
        <v>1500</v>
      </c>
      <c r="F103" s="173">
        <v>1500</v>
      </c>
      <c r="G103" s="173">
        <v>1500</v>
      </c>
      <c r="H103" s="173">
        <v>1500</v>
      </c>
      <c r="I103" s="173">
        <v>1500</v>
      </c>
      <c r="J103" s="173">
        <v>1500</v>
      </c>
      <c r="K103" s="173">
        <v>1500</v>
      </c>
      <c r="L103" s="173">
        <v>1500</v>
      </c>
      <c r="M103" s="173">
        <v>1500</v>
      </c>
      <c r="N103" s="173">
        <v>1500</v>
      </c>
      <c r="O103" s="40">
        <v>18000</v>
      </c>
      <c r="P103" s="40"/>
    </row>
    <row r="104" spans="2:16">
      <c r="B104" s="135" t="s">
        <v>134</v>
      </c>
      <c r="C104" s="172">
        <v>0</v>
      </c>
      <c r="D104" s="172">
        <v>0</v>
      </c>
      <c r="E104" s="172">
        <v>0</v>
      </c>
      <c r="F104" s="172">
        <v>0</v>
      </c>
      <c r="G104" s="172">
        <v>0</v>
      </c>
      <c r="H104" s="172">
        <v>0</v>
      </c>
      <c r="I104" s="172">
        <v>0</v>
      </c>
      <c r="J104" s="172">
        <v>0</v>
      </c>
      <c r="K104" s="172">
        <v>0</v>
      </c>
      <c r="L104" s="172">
        <v>0</v>
      </c>
      <c r="M104" s="172">
        <v>0</v>
      </c>
      <c r="N104" s="172">
        <v>0</v>
      </c>
      <c r="O104" s="40">
        <f t="shared" si="13"/>
        <v>0</v>
      </c>
      <c r="P104" s="40"/>
    </row>
    <row r="105" spans="2:16">
      <c r="B105" s="158" t="s">
        <v>66</v>
      </c>
      <c r="C105" s="172">
        <f t="shared" ref="C105:O105" si="42">C104*$C$5</f>
        <v>0</v>
      </c>
      <c r="D105" s="172">
        <f t="shared" si="42"/>
        <v>0</v>
      </c>
      <c r="E105" s="172">
        <f t="shared" si="42"/>
        <v>0</v>
      </c>
      <c r="F105" s="172">
        <f t="shared" si="42"/>
        <v>0</v>
      </c>
      <c r="G105" s="172">
        <f t="shared" si="42"/>
        <v>0</v>
      </c>
      <c r="H105" s="172">
        <f t="shared" si="42"/>
        <v>0</v>
      </c>
      <c r="I105" s="172">
        <f t="shared" si="42"/>
        <v>0</v>
      </c>
      <c r="J105" s="172">
        <f t="shared" si="42"/>
        <v>0</v>
      </c>
      <c r="K105" s="172">
        <f t="shared" si="42"/>
        <v>0</v>
      </c>
      <c r="L105" s="172">
        <f t="shared" si="42"/>
        <v>0</v>
      </c>
      <c r="M105" s="172">
        <f t="shared" si="42"/>
        <v>0</v>
      </c>
      <c r="N105" s="172">
        <f t="shared" si="42"/>
        <v>0</v>
      </c>
      <c r="O105" s="174">
        <f t="shared" si="42"/>
        <v>0</v>
      </c>
      <c r="P105" s="40"/>
    </row>
    <row r="106" spans="2:16">
      <c r="B106" s="175" t="s">
        <v>135</v>
      </c>
      <c r="C106" s="172">
        <f t="shared" ref="C106:N106" si="43">SUM(C100:C104)</f>
        <v>1500</v>
      </c>
      <c r="D106" s="172">
        <f t="shared" si="43"/>
        <v>1500</v>
      </c>
      <c r="E106" s="172">
        <f t="shared" si="43"/>
        <v>1500</v>
      </c>
      <c r="F106" s="172">
        <f t="shared" si="43"/>
        <v>1500</v>
      </c>
      <c r="G106" s="172">
        <f t="shared" si="43"/>
        <v>1500</v>
      </c>
      <c r="H106" s="172">
        <f t="shared" si="43"/>
        <v>1500</v>
      </c>
      <c r="I106" s="172">
        <f t="shared" si="43"/>
        <v>1500</v>
      </c>
      <c r="J106" s="172">
        <f t="shared" si="43"/>
        <v>7500</v>
      </c>
      <c r="K106" s="172">
        <f t="shared" si="43"/>
        <v>7500</v>
      </c>
      <c r="L106" s="172">
        <f t="shared" si="43"/>
        <v>7500</v>
      </c>
      <c r="M106" s="172">
        <f t="shared" si="43"/>
        <v>7500</v>
      </c>
      <c r="N106" s="172">
        <f t="shared" si="43"/>
        <v>7500</v>
      </c>
      <c r="O106" s="40">
        <f t="shared" si="13"/>
        <v>48000</v>
      </c>
      <c r="P106" s="40"/>
    </row>
    <row r="107" spans="2:16">
      <c r="B107" s="133" t="s">
        <v>136</v>
      </c>
      <c r="C107" s="172"/>
      <c r="D107" s="172"/>
      <c r="E107" s="172"/>
      <c r="F107" s="172"/>
      <c r="G107" s="172"/>
      <c r="H107" s="172"/>
      <c r="I107" s="172"/>
      <c r="J107" s="172"/>
      <c r="K107" s="172"/>
      <c r="L107" s="172"/>
      <c r="M107" s="172"/>
      <c r="N107" s="172"/>
      <c r="O107" s="40">
        <f t="shared" si="13"/>
        <v>0</v>
      </c>
    </row>
    <row r="108" spans="2:16">
      <c r="B108" s="131" t="s">
        <v>137</v>
      </c>
      <c r="C108" s="173">
        <f t="shared" ref="C108:N108" si="44">C59*$C$4</f>
        <v>594.5</v>
      </c>
      <c r="D108" s="173">
        <f t="shared" si="44"/>
        <v>1019</v>
      </c>
      <c r="E108" s="173">
        <f t="shared" si="44"/>
        <v>1263.5</v>
      </c>
      <c r="F108" s="173">
        <f t="shared" si="44"/>
        <v>1383.5</v>
      </c>
      <c r="G108" s="173">
        <f t="shared" si="44"/>
        <v>1503.5</v>
      </c>
      <c r="H108" s="173">
        <f t="shared" si="44"/>
        <v>1623.5</v>
      </c>
      <c r="I108" s="173">
        <f t="shared" si="44"/>
        <v>1743.5</v>
      </c>
      <c r="J108" s="173">
        <f t="shared" si="44"/>
        <v>1863.5</v>
      </c>
      <c r="K108" s="173">
        <f t="shared" si="44"/>
        <v>1983.5</v>
      </c>
      <c r="L108" s="173">
        <f t="shared" si="44"/>
        <v>2103.5</v>
      </c>
      <c r="M108" s="173">
        <f t="shared" si="44"/>
        <v>2223.5</v>
      </c>
      <c r="N108" s="173">
        <f t="shared" si="44"/>
        <v>2343.5</v>
      </c>
      <c r="O108" s="40">
        <f t="shared" si="13"/>
        <v>19648.5</v>
      </c>
      <c r="P108" s="40"/>
    </row>
    <row r="109" spans="2:16">
      <c r="B109" s="131" t="s">
        <v>138</v>
      </c>
      <c r="C109" s="173">
        <v>500</v>
      </c>
      <c r="D109" s="173">
        <v>500</v>
      </c>
      <c r="E109" s="173">
        <v>500</v>
      </c>
      <c r="F109" s="173">
        <v>500</v>
      </c>
      <c r="G109" s="173">
        <v>500</v>
      </c>
      <c r="H109" s="173">
        <v>500</v>
      </c>
      <c r="I109" s="173">
        <v>500</v>
      </c>
      <c r="J109" s="173">
        <v>500</v>
      </c>
      <c r="K109" s="173">
        <v>500</v>
      </c>
      <c r="L109" s="173">
        <v>500</v>
      </c>
      <c r="M109" s="173">
        <v>500</v>
      </c>
      <c r="N109" s="173">
        <v>500</v>
      </c>
      <c r="O109" s="40">
        <f t="shared" si="13"/>
        <v>6000</v>
      </c>
      <c r="P109" s="40"/>
    </row>
    <row r="110" spans="2:16">
      <c r="B110" s="131" t="s">
        <v>139</v>
      </c>
      <c r="C110" s="173">
        <v>350</v>
      </c>
      <c r="D110" s="173">
        <v>350</v>
      </c>
      <c r="E110" s="173">
        <v>350</v>
      </c>
      <c r="F110" s="173">
        <v>350</v>
      </c>
      <c r="G110" s="173">
        <v>350</v>
      </c>
      <c r="H110" s="173">
        <v>350</v>
      </c>
      <c r="I110" s="173">
        <v>350</v>
      </c>
      <c r="J110" s="173">
        <v>350</v>
      </c>
      <c r="K110" s="173">
        <v>350</v>
      </c>
      <c r="L110" s="173">
        <v>350</v>
      </c>
      <c r="M110" s="173">
        <v>350</v>
      </c>
      <c r="N110" s="173">
        <v>350</v>
      </c>
      <c r="O110" s="40">
        <f t="shared" si="13"/>
        <v>4200</v>
      </c>
      <c r="P110" s="40"/>
    </row>
    <row r="111" spans="2:16">
      <c r="B111" s="131" t="s">
        <v>140</v>
      </c>
      <c r="C111" s="173">
        <v>250</v>
      </c>
      <c r="D111" s="173">
        <v>250</v>
      </c>
      <c r="E111" s="173">
        <v>250</v>
      </c>
      <c r="F111" s="173">
        <v>250</v>
      </c>
      <c r="G111" s="173">
        <v>250</v>
      </c>
      <c r="H111" s="173">
        <v>250</v>
      </c>
      <c r="I111" s="173">
        <v>250</v>
      </c>
      <c r="J111" s="173">
        <v>250</v>
      </c>
      <c r="K111" s="173">
        <v>250</v>
      </c>
      <c r="L111" s="173">
        <v>250</v>
      </c>
      <c r="M111" s="173">
        <v>250</v>
      </c>
      <c r="N111" s="173">
        <v>250</v>
      </c>
      <c r="O111" s="40">
        <f t="shared" si="13"/>
        <v>3000</v>
      </c>
      <c r="P111" s="40"/>
    </row>
    <row r="112" spans="2:16">
      <c r="B112" s="175" t="s">
        <v>141</v>
      </c>
      <c r="C112" s="173">
        <f t="shared" ref="C112:N112" si="45">SUM(C108:C111)</f>
        <v>1694.5</v>
      </c>
      <c r="D112" s="173">
        <f t="shared" si="45"/>
        <v>2119</v>
      </c>
      <c r="E112" s="173">
        <f t="shared" si="45"/>
        <v>2363.5</v>
      </c>
      <c r="F112" s="173">
        <f t="shared" si="45"/>
        <v>2483.5</v>
      </c>
      <c r="G112" s="173">
        <f t="shared" si="45"/>
        <v>2603.5</v>
      </c>
      <c r="H112" s="173">
        <f t="shared" si="45"/>
        <v>2723.5</v>
      </c>
      <c r="I112" s="173">
        <f t="shared" si="45"/>
        <v>2843.5</v>
      </c>
      <c r="J112" s="173">
        <f t="shared" si="45"/>
        <v>2963.5</v>
      </c>
      <c r="K112" s="173">
        <f t="shared" si="45"/>
        <v>3083.5</v>
      </c>
      <c r="L112" s="173">
        <f t="shared" si="45"/>
        <v>3203.5</v>
      </c>
      <c r="M112" s="173">
        <f t="shared" si="45"/>
        <v>3323.5</v>
      </c>
      <c r="N112" s="173">
        <f t="shared" si="45"/>
        <v>3443.5</v>
      </c>
      <c r="O112" s="40">
        <f t="shared" si="13"/>
        <v>32848.5</v>
      </c>
      <c r="P112" s="40"/>
    </row>
    <row r="113" spans="2:20">
      <c r="B113" s="133" t="s">
        <v>142</v>
      </c>
      <c r="C113" s="173"/>
      <c r="D113" s="173"/>
      <c r="E113" s="173"/>
      <c r="F113" s="173"/>
      <c r="G113" s="173"/>
      <c r="H113" s="173"/>
      <c r="I113" s="173"/>
      <c r="J113" s="173"/>
      <c r="K113" s="173"/>
      <c r="L113" s="173"/>
      <c r="M113" s="173"/>
      <c r="N113" s="173"/>
      <c r="O113" s="40">
        <f t="shared" si="13"/>
        <v>0</v>
      </c>
    </row>
    <row r="114" spans="2:20">
      <c r="B114" s="158"/>
      <c r="C114" s="173">
        <v>0</v>
      </c>
      <c r="D114" s="173">
        <v>0</v>
      </c>
      <c r="E114" s="173">
        <v>0</v>
      </c>
      <c r="F114" s="173">
        <v>0</v>
      </c>
      <c r="G114" s="173">
        <v>0</v>
      </c>
      <c r="H114" s="173">
        <v>0</v>
      </c>
      <c r="I114" s="173">
        <v>0</v>
      </c>
      <c r="J114" s="173">
        <v>0</v>
      </c>
      <c r="K114" s="173">
        <v>0</v>
      </c>
      <c r="L114" s="173">
        <v>0</v>
      </c>
      <c r="M114" s="173">
        <v>0</v>
      </c>
      <c r="N114" s="173">
        <v>0</v>
      </c>
      <c r="O114" s="40">
        <f t="shared" si="13"/>
        <v>0</v>
      </c>
      <c r="P114" s="40"/>
    </row>
    <row r="115" spans="2:20">
      <c r="B115" s="175" t="s">
        <v>143</v>
      </c>
      <c r="C115" s="173">
        <f t="shared" ref="C115:N115" si="46">SUM(C114:C114)</f>
        <v>0</v>
      </c>
      <c r="D115" s="173">
        <f t="shared" si="46"/>
        <v>0</v>
      </c>
      <c r="E115" s="173">
        <f t="shared" si="46"/>
        <v>0</v>
      </c>
      <c r="F115" s="173">
        <f t="shared" si="46"/>
        <v>0</v>
      </c>
      <c r="G115" s="173">
        <f t="shared" si="46"/>
        <v>0</v>
      </c>
      <c r="H115" s="173">
        <f t="shared" si="46"/>
        <v>0</v>
      </c>
      <c r="I115" s="173">
        <f t="shared" si="46"/>
        <v>0</v>
      </c>
      <c r="J115" s="173">
        <f t="shared" si="46"/>
        <v>0</v>
      </c>
      <c r="K115" s="173">
        <f t="shared" si="46"/>
        <v>0</v>
      </c>
      <c r="L115" s="173">
        <f t="shared" si="46"/>
        <v>0</v>
      </c>
      <c r="M115" s="173">
        <f t="shared" si="46"/>
        <v>0</v>
      </c>
      <c r="N115" s="173">
        <f t="shared" si="46"/>
        <v>0</v>
      </c>
      <c r="O115" s="40">
        <f t="shared" si="13"/>
        <v>0</v>
      </c>
      <c r="P115" s="40"/>
    </row>
    <row r="116" spans="2:20">
      <c r="B116" s="138" t="s">
        <v>144</v>
      </c>
      <c r="C116" s="172">
        <f t="shared" ref="C116:N116" si="47">C106+C112+C115</f>
        <v>3194.5</v>
      </c>
      <c r="D116" s="172">
        <f t="shared" si="47"/>
        <v>3619</v>
      </c>
      <c r="E116" s="172">
        <f t="shared" si="47"/>
        <v>3863.5</v>
      </c>
      <c r="F116" s="172">
        <f t="shared" si="47"/>
        <v>3983.5</v>
      </c>
      <c r="G116" s="172">
        <f t="shared" si="47"/>
        <v>4103.5</v>
      </c>
      <c r="H116" s="172">
        <f t="shared" si="47"/>
        <v>4223.5</v>
      </c>
      <c r="I116" s="172">
        <f t="shared" si="47"/>
        <v>4343.5</v>
      </c>
      <c r="J116" s="172">
        <f t="shared" si="47"/>
        <v>10463.5</v>
      </c>
      <c r="K116" s="172">
        <f t="shared" si="47"/>
        <v>10583.5</v>
      </c>
      <c r="L116" s="172">
        <f t="shared" si="47"/>
        <v>10703.5</v>
      </c>
      <c r="M116" s="172">
        <f t="shared" si="47"/>
        <v>10823.5</v>
      </c>
      <c r="N116" s="172">
        <f t="shared" si="47"/>
        <v>10943.5</v>
      </c>
      <c r="O116" s="40">
        <f t="shared" si="13"/>
        <v>80848.5</v>
      </c>
      <c r="P116" s="40"/>
    </row>
    <row r="117" spans="2:20" ht="9" customHeight="1"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40"/>
    </row>
    <row r="118" spans="2:20">
      <c r="B118" s="138" t="s">
        <v>145</v>
      </c>
      <c r="C118" s="176">
        <f t="shared" ref="C118:N118" si="48">C95-C116</f>
        <v>-8301.1666666666679</v>
      </c>
      <c r="D118" s="176">
        <f t="shared" si="48"/>
        <v>-235.66666666666788</v>
      </c>
      <c r="E118" s="176">
        <f t="shared" si="48"/>
        <v>4409.8333333333321</v>
      </c>
      <c r="F118" s="176">
        <f t="shared" si="48"/>
        <v>6689.8333333333321</v>
      </c>
      <c r="G118" s="176">
        <f t="shared" si="48"/>
        <v>8969.8333333333321</v>
      </c>
      <c r="H118" s="176">
        <f t="shared" si="48"/>
        <v>11249.833333333332</v>
      </c>
      <c r="I118" s="176">
        <f t="shared" si="48"/>
        <v>13529.833333333332</v>
      </c>
      <c r="J118" s="176">
        <f t="shared" si="48"/>
        <v>9666.4333333333343</v>
      </c>
      <c r="K118" s="176">
        <f t="shared" si="48"/>
        <v>11946.433333333334</v>
      </c>
      <c r="L118" s="176">
        <f t="shared" si="48"/>
        <v>13376.433333333334</v>
      </c>
      <c r="M118" s="176">
        <f t="shared" si="48"/>
        <v>15656.433333333334</v>
      </c>
      <c r="N118" s="176">
        <f t="shared" si="48"/>
        <v>17936.433333333334</v>
      </c>
      <c r="O118" s="177">
        <f t="shared" ref="O118:O125" si="49">SUM(C118:N118)</f>
        <v>104894.5</v>
      </c>
      <c r="P118" s="40"/>
    </row>
    <row r="119" spans="2:20" ht="9.4" customHeight="1"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40"/>
    </row>
    <row r="120" spans="2:20">
      <c r="B120" s="138" t="s">
        <v>146</v>
      </c>
      <c r="C120" s="173"/>
      <c r="D120" s="173"/>
      <c r="E120" s="173"/>
      <c r="F120" s="173"/>
      <c r="G120" s="173"/>
      <c r="H120" s="173"/>
      <c r="I120" s="173"/>
      <c r="J120" s="173"/>
      <c r="K120" s="173"/>
      <c r="L120" s="173"/>
      <c r="M120" s="173"/>
      <c r="N120" s="173"/>
      <c r="O120" s="40">
        <f t="shared" si="49"/>
        <v>0</v>
      </c>
      <c r="P120" s="40"/>
    </row>
    <row r="121" spans="2:20" hidden="1">
      <c r="C121" s="173"/>
      <c r="D121" s="173"/>
      <c r="E121" s="173"/>
      <c r="F121" s="173"/>
      <c r="G121" s="173"/>
      <c r="H121" s="173"/>
      <c r="I121" s="173"/>
      <c r="J121" s="173"/>
      <c r="K121" s="173"/>
      <c r="L121" s="173"/>
      <c r="M121" s="173"/>
      <c r="N121" s="173"/>
      <c r="O121" s="40">
        <f t="shared" si="49"/>
        <v>0</v>
      </c>
      <c r="P121" s="40"/>
    </row>
    <row r="122" spans="2:20" ht="15.75" hidden="1" thickBot="1"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40">
        <f t="shared" si="49"/>
        <v>0</v>
      </c>
      <c r="P122" s="40"/>
    </row>
    <row r="123" spans="2:20">
      <c r="B123" s="135"/>
      <c r="C123" s="179"/>
      <c r="D123" s="179"/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  <c r="O123" s="40">
        <f t="shared" si="49"/>
        <v>0</v>
      </c>
    </row>
    <row r="124" spans="2:20" hidden="1"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40">
        <f t="shared" si="49"/>
        <v>0</v>
      </c>
      <c r="P124" s="40"/>
    </row>
    <row r="125" spans="2:20">
      <c r="B125" s="138" t="s">
        <v>87</v>
      </c>
      <c r="C125" s="172">
        <f t="shared" ref="C125:N125" si="50">C118+SUM(C120:C122)-C124</f>
        <v>-8301.1666666666679</v>
      </c>
      <c r="D125" s="172">
        <f t="shared" si="50"/>
        <v>-235.66666666666788</v>
      </c>
      <c r="E125" s="172">
        <f t="shared" si="50"/>
        <v>4409.8333333333321</v>
      </c>
      <c r="F125" s="172">
        <f t="shared" si="50"/>
        <v>6689.8333333333321</v>
      </c>
      <c r="G125" s="172">
        <f t="shared" si="50"/>
        <v>8969.8333333333321</v>
      </c>
      <c r="H125" s="172">
        <f t="shared" si="50"/>
        <v>11249.833333333332</v>
      </c>
      <c r="I125" s="172">
        <f t="shared" si="50"/>
        <v>13529.833333333332</v>
      </c>
      <c r="J125" s="172">
        <f>J118+SUM(J120:J122)-J124</f>
        <v>9666.4333333333343</v>
      </c>
      <c r="K125" s="172">
        <f t="shared" si="50"/>
        <v>11946.433333333334</v>
      </c>
      <c r="L125" s="172">
        <f t="shared" si="50"/>
        <v>13376.433333333334</v>
      </c>
      <c r="M125" s="172">
        <f t="shared" si="50"/>
        <v>15656.433333333334</v>
      </c>
      <c r="N125" s="172">
        <f t="shared" si="50"/>
        <v>17936.433333333334</v>
      </c>
      <c r="O125" s="40">
        <f t="shared" si="49"/>
        <v>104894.5</v>
      </c>
      <c r="P125" s="40"/>
      <c r="T125" s="180">
        <v>53000</v>
      </c>
    </row>
    <row r="128" spans="2:20">
      <c r="B128" s="1">
        <v>8000</v>
      </c>
    </row>
    <row r="129" spans="2:14">
      <c r="B129" s="1">
        <v>10000</v>
      </c>
      <c r="C129" s="181"/>
    </row>
    <row r="130" spans="2:14">
      <c r="B130" s="1">
        <v>25000</v>
      </c>
      <c r="C130" s="181"/>
    </row>
    <row r="131" spans="2:14">
      <c r="B131" s="1">
        <v>10000</v>
      </c>
      <c r="C131" s="181"/>
      <c r="N131" s="40"/>
    </row>
    <row r="132" spans="2:14">
      <c r="B132" s="1">
        <f>SUM(B128:B131)</f>
        <v>53000</v>
      </c>
      <c r="C132" s="181"/>
    </row>
    <row r="133" spans="2:14">
      <c r="C133" s="181"/>
    </row>
  </sheetData>
  <mergeCells count="27">
    <mergeCell ref="I25:K25"/>
    <mergeCell ref="M25:O25"/>
    <mergeCell ref="I29:K29"/>
    <mergeCell ref="M29:O29"/>
    <mergeCell ref="I26:K26"/>
    <mergeCell ref="M26:O26"/>
    <mergeCell ref="I27:K27"/>
    <mergeCell ref="M27:O27"/>
    <mergeCell ref="I28:K28"/>
    <mergeCell ref="M28:O28"/>
    <mergeCell ref="W17:AD17"/>
    <mergeCell ref="I23:K23"/>
    <mergeCell ref="M23:O23"/>
    <mergeCell ref="I24:K24"/>
    <mergeCell ref="M24:O24"/>
    <mergeCell ref="F22:H22"/>
    <mergeCell ref="I22:T22"/>
    <mergeCell ref="B1:C1"/>
    <mergeCell ref="F2:J2"/>
    <mergeCell ref="L5:T5"/>
    <mergeCell ref="L6:O6"/>
    <mergeCell ref="F7:H7"/>
    <mergeCell ref="L7:O7"/>
    <mergeCell ref="F8:H8"/>
    <mergeCell ref="F9:H9"/>
    <mergeCell ref="L16:O16"/>
    <mergeCell ref="L17:O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Yoder, Kim</dc:creator>
  <cp:lastModifiedBy>Long, Olivia</cp:lastModifiedBy>
  <cp:lastPrinted>2023-04-14T20:05:35Z</cp:lastPrinted>
  <dcterms:created xsi:type="dcterms:W3CDTF">2023-04-14T19:59:37Z</dcterms:created>
  <dcterms:modified xsi:type="dcterms:W3CDTF">2023-04-26T17:28:57Z</dcterms:modified>
</cp:coreProperties>
</file>